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110" windowWidth="19320" windowHeight="4425" activeTab="0"/>
  </bookViews>
  <sheets>
    <sheet name="фин.отчет прил. 8" sheetId="1" r:id="rId1"/>
    <sheet name="приложение 9" sheetId="2" r:id="rId2"/>
  </sheets>
  <definedNames>
    <definedName name="_xlnm.Print_Area" localSheetId="1">'приложение 9'!$A$1:$F$64</definedName>
    <definedName name="_xlnm.Print_Area" localSheetId="0">'фин.отчет прил. 8'!$A$1:$R$222</definedName>
  </definedNames>
  <calcPr fullCalcOnLoad="1" fullPrecision="0"/>
</workbook>
</file>

<file path=xl/sharedStrings.xml><?xml version="1.0" encoding="utf-8"?>
<sst xmlns="http://schemas.openxmlformats.org/spreadsheetml/2006/main" count="845" uniqueCount="374">
  <si>
    <t>Код бюджетной классификации</t>
  </si>
  <si>
    <t>ГРБС</t>
  </si>
  <si>
    <t>Раздел, подраздел</t>
  </si>
  <si>
    <t>ЦСР</t>
  </si>
  <si>
    <t>КВР</t>
  </si>
  <si>
    <t>х</t>
  </si>
  <si>
    <t>0701</t>
  </si>
  <si>
    <t>0702</t>
  </si>
  <si>
    <t>0709</t>
  </si>
  <si>
    <t>РУО</t>
  </si>
  <si>
    <t>КИО</t>
  </si>
  <si>
    <t>Всего</t>
  </si>
  <si>
    <t>№ п/п</t>
  </si>
  <si>
    <t>1.</t>
  </si>
  <si>
    <t>2.</t>
  </si>
  <si>
    <t>3.</t>
  </si>
  <si>
    <t>2.1.</t>
  </si>
  <si>
    <t>1.1.</t>
  </si>
  <si>
    <t>1.2.</t>
  </si>
  <si>
    <t>1.3.</t>
  </si>
  <si>
    <t>3.1.</t>
  </si>
  <si>
    <t>Управление образования администрации Пермского муниципального района (РУО)</t>
  </si>
  <si>
    <t>Подпрограмма 1 Развитие системы дошкольного общего образования Пермского муниципального района</t>
  </si>
  <si>
    <t>МУ "Управление капитального строительства Пермского муниципального  района (УКС)</t>
  </si>
  <si>
    <t>Комитет имущественных отношений (КИО)</t>
  </si>
  <si>
    <t>Финансово-экономическое управление администрации Пермского муниципального района (ФЭУ)</t>
  </si>
  <si>
    <t>Подпрограмма 2 Развитие системы начального общего, основного общего, среднего общего образования Пермского муниципального района</t>
  </si>
  <si>
    <t>Предоставление бесплатного питания детям-инвалидам, обучающимся в общеобразовательных школах</t>
  </si>
  <si>
    <t>Подпрограмма 3 Развитие системы воспитания и дополнительного образования Пермского муниципального района</t>
  </si>
  <si>
    <t>Подпрограмма 4 Организация отдыха и оздоровления детей Пермского муниципального района</t>
  </si>
  <si>
    <t>0707</t>
  </si>
  <si>
    <t>1003</t>
  </si>
  <si>
    <t>Подпрограмма 7 Обеспечение реализации Программы и прочие мероприятия в области образования</t>
  </si>
  <si>
    <t>Муниципальная программа "Развитие системы образования Пермского муниципального района на 2016-2020 годы"</t>
  </si>
  <si>
    <t>УКС</t>
  </si>
  <si>
    <t>ФЭУ</t>
  </si>
  <si>
    <t>1.4.</t>
  </si>
  <si>
    <t>2.2.</t>
  </si>
  <si>
    <t>4.</t>
  </si>
  <si>
    <t>4.1.</t>
  </si>
  <si>
    <t>4.3.</t>
  </si>
  <si>
    <t>5.</t>
  </si>
  <si>
    <t>5.1.</t>
  </si>
  <si>
    <t>5.2.</t>
  </si>
  <si>
    <t>6.</t>
  </si>
  <si>
    <t>6.1.</t>
  </si>
  <si>
    <t>6.2.</t>
  </si>
  <si>
    <t>6.3.</t>
  </si>
  <si>
    <t>7.1.</t>
  </si>
  <si>
    <t>8.</t>
  </si>
  <si>
    <t>8.1.</t>
  </si>
  <si>
    <t>8.2.</t>
  </si>
  <si>
    <t>8.3.</t>
  </si>
  <si>
    <t>8.5.</t>
  </si>
  <si>
    <t>Участники муниципальной программы</t>
  </si>
  <si>
    <t xml:space="preserve">Подпрограмма 6 Развитие сети образовательных учреждений Пермского муниципального района и приведение их в нормативное состояние </t>
  </si>
  <si>
    <t>Организация перевозки обучающихся до образовательной организации и обратно</t>
  </si>
  <si>
    <t>Организация отдыха детей в каникулярное время</t>
  </si>
  <si>
    <t>Подпрограмма 5 Кадры системы образования Пермского муниципального района</t>
  </si>
  <si>
    <t>Реализация  проекта «Мобильный учитель» (текущие расходы)</t>
  </si>
  <si>
    <t>Создание современной материально-технической базы для реализации программ дополнительного образования</t>
  </si>
  <si>
    <t>7.5.1.1</t>
  </si>
  <si>
    <t>7.5.1.2</t>
  </si>
  <si>
    <t>7.5.1.3</t>
  </si>
  <si>
    <t>7.6.1.7</t>
  </si>
  <si>
    <t>7.6.1.8</t>
  </si>
  <si>
    <t>7.6.1.10</t>
  </si>
  <si>
    <t>7.6.1.15</t>
  </si>
  <si>
    <t>7.6.1.16</t>
  </si>
  <si>
    <t>7.6.1.17</t>
  </si>
  <si>
    <t>7.6.1.18</t>
  </si>
  <si>
    <t>7.6.1.19</t>
  </si>
  <si>
    <t>7.6.1.20</t>
  </si>
  <si>
    <t>7.6.1.21</t>
  </si>
  <si>
    <t>7.6.1.22</t>
  </si>
  <si>
    <t>7.6.1.23</t>
  </si>
  <si>
    <t>7.6.1.29</t>
  </si>
  <si>
    <r>
      <rPr>
        <u val="single"/>
        <sz val="12"/>
        <rFont val="Times New Roman"/>
        <family val="1"/>
      </rPr>
      <t>Основное мероприятие</t>
    </r>
    <r>
      <rPr>
        <sz val="12"/>
        <rFont val="Times New Roman"/>
        <family val="1"/>
      </rPr>
      <t xml:space="preserve"> "Предоставление дошкольного образования в дошкольных образовательных организациях"</t>
    </r>
  </si>
  <si>
    <t>Возмещение затрат образовательных организаций, реализующих образовательную программу дошкольного образования на осуществление присмотра и ухода</t>
  </si>
  <si>
    <t>2.2.1</t>
  </si>
  <si>
    <t>2.3</t>
  </si>
  <si>
    <t>2.3.1.</t>
  </si>
  <si>
    <r>
      <rPr>
        <u val="single"/>
        <sz val="12"/>
        <rFont val="Times New Roman"/>
        <family val="1"/>
      </rPr>
      <t xml:space="preserve">Основное мероприятие </t>
    </r>
    <r>
      <rPr>
        <sz val="12"/>
        <rFont val="Times New Roman"/>
        <family val="1"/>
      </rPr>
      <t>Предоставление общего (начального, основного, среднего) образования в общеобразовательных организациях</t>
    </r>
  </si>
  <si>
    <t>3.2.1.</t>
  </si>
  <si>
    <t>3.2.2.</t>
  </si>
  <si>
    <t>3.2</t>
  </si>
  <si>
    <t>3.3</t>
  </si>
  <si>
    <t>3.3.1.</t>
  </si>
  <si>
    <r>
      <t xml:space="preserve">Основное мероприятие  </t>
    </r>
    <r>
      <rPr>
        <sz val="12"/>
        <rFont val="Times New Roman"/>
        <family val="1"/>
      </rPr>
      <t>«Предоставление дополнительного образования детей по дополнительным общеобразовательным программам в муниципальных организациях дополнительного образования»</t>
    </r>
  </si>
  <si>
    <r>
      <t xml:space="preserve">Основное мероприятие </t>
    </r>
    <r>
      <rPr>
        <sz val="12"/>
        <rFont val="Times New Roman"/>
        <family val="1"/>
      </rPr>
      <t xml:space="preserve"> «Мероприятия, обеспечивающие функционирование и развитие дополнительного образования»</t>
    </r>
  </si>
  <si>
    <t>4.2</t>
  </si>
  <si>
    <t>4.2.1.</t>
  </si>
  <si>
    <t>4.3.1.</t>
  </si>
  <si>
    <t>4.3.2.</t>
  </si>
  <si>
    <r>
      <rPr>
        <u val="single"/>
        <sz val="12"/>
        <rFont val="Times New Roman"/>
        <family val="1"/>
      </rPr>
      <t xml:space="preserve">Основное мероприятие </t>
    </r>
    <r>
      <rPr>
        <sz val="12"/>
        <rFont val="Times New Roman"/>
        <family val="1"/>
      </rPr>
      <t>«Организация оздоровительной кампании на территории Пермского муниципального района»</t>
    </r>
  </si>
  <si>
    <r>
      <rPr>
        <u val="single"/>
        <sz val="12"/>
        <rFont val="Times New Roman"/>
        <family val="1"/>
      </rPr>
      <t>Основное мероприятие</t>
    </r>
    <r>
      <rPr>
        <sz val="12"/>
        <rFont val="Times New Roman"/>
        <family val="1"/>
      </rPr>
      <t xml:space="preserve"> «Оказание мер государственной поддержки работникам муниципальных образовательных организаций»</t>
    </r>
  </si>
  <si>
    <r>
      <t>Основное мероприятие</t>
    </r>
    <r>
      <rPr>
        <sz val="12"/>
        <rFont val="Times New Roman"/>
        <family val="1"/>
      </rPr>
      <t xml:space="preserve"> "Обеспечение деятельности органов местного самоуправления"</t>
    </r>
  </si>
  <si>
    <r>
      <t>Основное мероприятие</t>
    </r>
    <r>
      <rPr>
        <sz val="12"/>
        <rFont val="Times New Roman"/>
        <family val="1"/>
      </rPr>
      <t xml:space="preserve"> "Обеспечение деятельности муниципальных казенных учреждений"</t>
    </r>
  </si>
  <si>
    <t>3.2.5.</t>
  </si>
  <si>
    <t>6.3.1.</t>
  </si>
  <si>
    <t>0110000000</t>
  </si>
  <si>
    <t>0100000000</t>
  </si>
  <si>
    <t>0110110050</t>
  </si>
  <si>
    <t>0110110000</t>
  </si>
  <si>
    <t>Обеспечение деятельности (оказание услуг, выполнение работ) муниципальных учреждений (организаций)</t>
  </si>
  <si>
    <t>0110200000</t>
  </si>
  <si>
    <t>0120000000</t>
  </si>
  <si>
    <t>0120100000</t>
  </si>
  <si>
    <t>012011Ш010</t>
  </si>
  <si>
    <t>0120110050</t>
  </si>
  <si>
    <t>012011Ш040</t>
  </si>
  <si>
    <t>0120200000</t>
  </si>
  <si>
    <t>0120210070</t>
  </si>
  <si>
    <t>0130000000</t>
  </si>
  <si>
    <t>0130100000</t>
  </si>
  <si>
    <t>0130110050</t>
  </si>
  <si>
    <t>0130200000</t>
  </si>
  <si>
    <t>013021Ш050</t>
  </si>
  <si>
    <t>Организация, проведение и участие в мероприятиях</t>
  </si>
  <si>
    <t>0130210080</t>
  </si>
  <si>
    <t>0140000000</t>
  </si>
  <si>
    <t>0140100000</t>
  </si>
  <si>
    <t>0150000000</t>
  </si>
  <si>
    <t>0150100000</t>
  </si>
  <si>
    <t xml:space="preserve">Обеспечение работников учреждений бюджетной сферы Пермского муниципального района путевками на санаторно-курортное лечение и оздоровление </t>
  </si>
  <si>
    <t>01501SC070</t>
  </si>
  <si>
    <r>
      <rPr>
        <u val="single"/>
        <sz val="12"/>
        <rFont val="Times New Roman"/>
        <family val="1"/>
      </rPr>
      <t>Основное мероприятие</t>
    </r>
    <r>
      <rPr>
        <sz val="12"/>
        <rFont val="Times New Roman"/>
        <family val="1"/>
      </rPr>
      <t xml:space="preserve"> "Мероприятия, обеспечивающие кадровую политику в сфере образования"</t>
    </r>
  </si>
  <si>
    <t>0160000000</t>
  </si>
  <si>
    <t>016021Ш070</t>
  </si>
  <si>
    <t>Проведение текущего и капитального ремонта муниципальных учреждений (организаций)</t>
  </si>
  <si>
    <t>0160310100</t>
  </si>
  <si>
    <t>Прочие мероприятия по приведению муниципальных учреждений (организаций) в нормативное состояние</t>
  </si>
  <si>
    <t>0160310090</t>
  </si>
  <si>
    <t>0170100000</t>
  </si>
  <si>
    <t>0170000000</t>
  </si>
  <si>
    <t>Содержание органов местного самоуправления Пермского муниципального района</t>
  </si>
  <si>
    <t>0170110040</t>
  </si>
  <si>
    <t>0170210050</t>
  </si>
  <si>
    <t>Приобретение мягкого инвентаря</t>
  </si>
  <si>
    <t>0110110130</t>
  </si>
  <si>
    <t>0120110130</t>
  </si>
  <si>
    <r>
      <t>Основное мероприятие</t>
    </r>
    <r>
      <rPr>
        <sz val="12"/>
        <rFont val="Times New Roman"/>
        <family val="1"/>
      </rPr>
      <t xml:space="preserve"> «Предоставление мер социальной поддержки семьям, имеющим детей по оплате за присмотр и уход за ребенком в образовательных организациях, реализующих образовательную программу дошкольного образования»</t>
    </r>
  </si>
  <si>
    <t>0140110150</t>
  </si>
  <si>
    <t>2.2.2.</t>
  </si>
  <si>
    <t>3.2.6.</t>
  </si>
  <si>
    <t>01601SP050</t>
  </si>
  <si>
    <t>7.6.1.4.</t>
  </si>
  <si>
    <t>7.6.1.5.</t>
  </si>
  <si>
    <t>7.6.1.6.</t>
  </si>
  <si>
    <t>7.6.1.7.</t>
  </si>
  <si>
    <t>7.6.1.8.</t>
  </si>
  <si>
    <t>7.6.1.9.</t>
  </si>
  <si>
    <t>7.6.1.11.</t>
  </si>
  <si>
    <t>7.6.1.12.</t>
  </si>
  <si>
    <t>8.2.1.</t>
  </si>
  <si>
    <t>8.2.2.</t>
  </si>
  <si>
    <t>8.2.3.</t>
  </si>
  <si>
    <t>8.3.1.</t>
  </si>
  <si>
    <t>01101Ш060</t>
  </si>
  <si>
    <t>2.2.3.</t>
  </si>
  <si>
    <t>Предоставление субсидий частным образовательным организациям и индивидуальным предпринимателям, осуществляющим образовательную деятельность по образовательным программам дошкольного образования, на возмещение затрат на осуществление присмотра и ухода за детьми, содержание детей в образовательных организациях</t>
  </si>
  <si>
    <t>7.6.2.22</t>
  </si>
  <si>
    <t>7.6.2.23</t>
  </si>
  <si>
    <t>7.6.2.24</t>
  </si>
  <si>
    <t>7.6.2.25</t>
  </si>
  <si>
    <t>7.6.2.26</t>
  </si>
  <si>
    <t>7.6.2.27</t>
  </si>
  <si>
    <t>7.6.2.28</t>
  </si>
  <si>
    <t>7.6.2.29</t>
  </si>
  <si>
    <t>7.6.2.30</t>
  </si>
  <si>
    <t>7.6.2.31</t>
  </si>
  <si>
    <t>7.6.2.32</t>
  </si>
  <si>
    <t>7.6.2.33</t>
  </si>
  <si>
    <r>
      <rPr>
        <b/>
        <u val="single"/>
        <sz val="12"/>
        <rFont val="Times New Roman"/>
        <family val="1"/>
      </rPr>
      <t>Основное мероприятие</t>
    </r>
    <r>
      <rPr>
        <b/>
        <sz val="12"/>
        <rFont val="Times New Roman"/>
        <family val="1"/>
      </rPr>
      <t xml:space="preserve"> "Мероприятия по приведению муниципальных организаций в нормативное состояние"</t>
    </r>
  </si>
  <si>
    <t>7.6.2.34</t>
  </si>
  <si>
    <t>7.6.2.35</t>
  </si>
  <si>
    <t>7.6.2.36</t>
  </si>
  <si>
    <t>Реконструкция здания детского сада д. Горшки Заболотского сельского поселения (приведение здания в нормативное техническое состояние)</t>
  </si>
  <si>
    <t>Источник финансирования</t>
  </si>
  <si>
    <t>7.6.2.37</t>
  </si>
  <si>
    <t>7.6.2.38</t>
  </si>
  <si>
    <t>7.6.2.39</t>
  </si>
  <si>
    <t>7.6.2.40</t>
  </si>
  <si>
    <t>7.6.2.41</t>
  </si>
  <si>
    <t>7.6.2.42</t>
  </si>
  <si>
    <t>Обеспечение воспитания и обучения детей-инвалидов в дошкольных образовательных организациях и на дому</t>
  </si>
  <si>
    <t>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t>
  </si>
  <si>
    <r>
      <rPr>
        <u val="single"/>
        <sz val="12"/>
        <rFont val="Times New Roman"/>
        <family val="1"/>
      </rPr>
      <t>Основное мероприятие</t>
    </r>
    <r>
      <rPr>
        <sz val="12"/>
        <rFont val="Times New Roman"/>
        <family val="1"/>
      </rPr>
      <t xml:space="preserve">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r>
  </si>
  <si>
    <t>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</si>
  <si>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Предоставление государственных гарантий на получение общедоступного бесплатного дошкольного, начального, основного, среднего общего образования, а также дополнительного образования в общеобразовательных организациях</t>
  </si>
  <si>
    <t>Выплата вознаграждения за выполнение функций классного руководителя педагогическим работникам образовательных организаций</t>
  </si>
  <si>
    <t>Предоставление мер социальной поддержки учащимся из многодетных малоимущих семей</t>
  </si>
  <si>
    <t>Предоставление мер социальной поддержки учащимся из малоимущих семей</t>
  </si>
  <si>
    <t>Мероприятия по организации оздоровления и отдыха детей</t>
  </si>
  <si>
    <t>5.3.</t>
  </si>
  <si>
    <t>Предоставление мер социальной поддержки педагогическим работникам образовательных организаций</t>
  </si>
  <si>
    <t xml:space="preserve">Дополнительные меры социальной поддержки отдельных категорий лиц, которым присуждены ученые степени кандидата и доктора наук, работающих в общеобразовательных и профессиональных организациях </t>
  </si>
  <si>
    <t>Предоставление мер социальной поддержки педагогическим работникам образовательных государственных и муниципальных учреждениях Пермского края, работающим и проживающим в сельской местности и поселках городского типа (рабочих поселках), по оплате жилого помещения и коммунальных услуг</t>
  </si>
  <si>
    <t>7.6.1.13</t>
  </si>
  <si>
    <t>7.6.1.14</t>
  </si>
  <si>
    <t>7.6.2.43</t>
  </si>
  <si>
    <t>7.6.2.45</t>
  </si>
  <si>
    <t>7.6.2.46</t>
  </si>
  <si>
    <t>7.6.2.47</t>
  </si>
  <si>
    <t>7.6.2.48</t>
  </si>
  <si>
    <t>Наименование муниципальной программы, подпрограммы, мероприятий</t>
  </si>
  <si>
    <t>Единовременная денежная выплата обучающимся из малоимущих семей, поступающим в первый класс общеобразовательной организации</t>
  </si>
  <si>
    <t>0703</t>
  </si>
  <si>
    <t>Капитальный ремонт МАОУ "Лобановская средняя школа"  (Ремонт пищеблока, приобретение оборудования для пищеблока)</t>
  </si>
  <si>
    <t xml:space="preserve">РУО </t>
  </si>
  <si>
    <r>
      <rPr>
        <b/>
        <u val="single"/>
        <sz val="12"/>
        <rFont val="Times New Roman"/>
        <family val="1"/>
      </rPr>
      <t>Основное мероприятие</t>
    </r>
    <r>
      <rPr>
        <b/>
        <sz val="12"/>
        <rFont val="Times New Roman"/>
        <family val="1"/>
      </rPr>
      <t xml:space="preserve"> "Оснащение дополнительных мест в муниципальных образовательных организациях"</t>
    </r>
  </si>
  <si>
    <t>5.3.1.</t>
  </si>
  <si>
    <t>5.3.2.</t>
  </si>
  <si>
    <t>7.4.6</t>
  </si>
  <si>
    <t>7.4.7</t>
  </si>
  <si>
    <t>7.6.2.44</t>
  </si>
  <si>
    <t>7.6.2.20</t>
  </si>
  <si>
    <t>7.6.2.21</t>
  </si>
  <si>
    <t xml:space="preserve">Оснащение дополнительных мест в общеобразовательных организациях </t>
  </si>
  <si>
    <t>0110110180</t>
  </si>
  <si>
    <t>Проведение обязательных предварительных и периодических медицинских осмотров работников муниципальных образовательных организаций</t>
  </si>
  <si>
    <t>2.2.4.</t>
  </si>
  <si>
    <t>0120110180</t>
  </si>
  <si>
    <t>0130110180</t>
  </si>
  <si>
    <t>Стимулирование педагогических работников по результатам обучения школьников</t>
  </si>
  <si>
    <t>Единовременная премия обучающимся, награжденным знаком отличия Пермского края "Гордость Пермского края"</t>
  </si>
  <si>
    <t>3.2.7.</t>
  </si>
  <si>
    <t>4.2.2.</t>
  </si>
  <si>
    <t>7.4.14</t>
  </si>
  <si>
    <t>Итого</t>
  </si>
  <si>
    <t>Отчет</t>
  </si>
  <si>
    <t xml:space="preserve"> о финансовом обеспечении муниципальной программы "Развитие системы образования Пермского муниципального района на 2016-2020 годы"</t>
  </si>
  <si>
    <t xml:space="preserve"> за счет бюджетных средств</t>
  </si>
  <si>
    <t>Бюджет района</t>
  </si>
  <si>
    <t>Бюджеты поселений</t>
  </si>
  <si>
    <t>Краевой бюджет</t>
  </si>
  <si>
    <t>Федер. Бюджет</t>
  </si>
  <si>
    <t>План</t>
  </si>
  <si>
    <t>Факт</t>
  </si>
  <si>
    <t>% исполнения</t>
  </si>
  <si>
    <t>Приложение 8</t>
  </si>
  <si>
    <t>к Порядку</t>
  </si>
  <si>
    <t xml:space="preserve">Наименование муниципальной программы, подпрограммы </t>
  </si>
  <si>
    <t>Федеральный бюджет</t>
  </si>
  <si>
    <t>Внебюджетные источники</t>
  </si>
  <si>
    <t>Начальник управления образования</t>
  </si>
  <si>
    <t>Исполнитель</t>
  </si>
  <si>
    <t>Л.А.Кылосова</t>
  </si>
  <si>
    <t>%</t>
  </si>
  <si>
    <t>Приложение 9</t>
  </si>
  <si>
    <t>Н.А.Соснина</t>
  </si>
  <si>
    <t>Подпрограмма 1 "Развитие системы дошкольного общего образования Пермского муниципального района"</t>
  </si>
  <si>
    <t>Подпрограмма 2 "Развитие системы начального общего, основного общего, среднего общего образования Пермского муниципального района"</t>
  </si>
  <si>
    <t>Предоставление бесплатного питания обучающимся с ограниченными возможностями здоровья</t>
  </si>
  <si>
    <t>Обеспечение воспитания и обучения детей-инвалидов в образовательных организациях, реализующих образовательных программы дошкольного образования и на дому</t>
  </si>
  <si>
    <t>Приобретение автомобиля по проекту "Мобильный учитель"</t>
  </si>
  <si>
    <t>Подпрограмма 3 "Развитие системы воспитания и дополнительного образования Пермского муниципального района"</t>
  </si>
  <si>
    <t>Аренда спортивных объектов для осуществления уставных видов деятельности</t>
  </si>
  <si>
    <t>Подпрограмма 4 "Организация отдыха и оздоровления детей Пермского муниципального района"</t>
  </si>
  <si>
    <t>УДКС</t>
  </si>
  <si>
    <t>Подпрограмма 5 "Кадры системы образования Пермского муниципального района"</t>
  </si>
  <si>
    <t>Обеспечение работников учреждений бюджетной сферы Пермского края путевками на санаторно-курортное лечение и оздоровление</t>
  </si>
  <si>
    <t>Единовременные компенсационные выплаты педагогическим работникам муниципальных общеобразовательных учреждений на приобретение или строительство жилого помещения</t>
  </si>
  <si>
    <t xml:space="preserve">Подпрограмма 6 "Развитие сети образовательных учреждений Пермского муниципального района и приведение их в нормативное состояние" </t>
  </si>
  <si>
    <r>
      <rPr>
        <b/>
        <u val="single"/>
        <sz val="12"/>
        <rFont val="Times New Roman"/>
        <family val="1"/>
      </rPr>
      <t>Основное мероприятие</t>
    </r>
    <r>
      <rPr>
        <b/>
        <sz val="12"/>
        <rFont val="Times New Roman"/>
        <family val="1"/>
      </rPr>
      <t xml:space="preserve"> "Строительство (реконструкция) объектов общественной инфраструктуры муниципального значения, приобретение объектов недвижимого имущества в муниципальную собственность"</t>
    </r>
  </si>
  <si>
    <t>Управление образования администрации Пермского муниципального района (услуги по круглосуточной охране имущества, приобретенного для оснащения МАОУ "Фроловская средняя школа", находящегося в выделенных помещениях строящегося здания по адресу: 614031, Пермский край, Пермский муниципальный район, с. Фролы, улица Светлая, дом 2)</t>
  </si>
  <si>
    <t>МАОУ "Бабкинская средняя школа" (ремонт помещений школы)</t>
  </si>
  <si>
    <t>Капитальный ремонт МАДОУ "Юго-Камский детский сад "Планета детства"  (Замена уличных веранд)</t>
  </si>
  <si>
    <t>Капитальный ремонт МАДОУ "Юго-Камский детский сад "Планета детства"  (Обустройство лестниц 3-го типа, благоустройство территории, ремонт путей эвакуации, обустройство малых архитектурных форм)</t>
  </si>
  <si>
    <t>Капитальный ремонт МАОУ "Хохловская основная школа" (ремонт пищеблока, организация наружного освещения, обустройство вентиляции над моечными ваннами, обустройство навесов над входом в пищеблок)</t>
  </si>
  <si>
    <t>МБОУ "Конзаводская средняя школа им. В.К. Блюхера" (мониторинг за состоянием несущих конструкций здания)</t>
  </si>
  <si>
    <t>Капитальный ремонт МБДОУ "Усть-Качкинский детский сад "Огонек" (Обустройство малых архитектурных форм, ремонт входных групп, обустройство пандуса)</t>
  </si>
  <si>
    <t>Капитальный ремонт МАДОУ "Савинский детский сад "Созвездие" (Обустройство спортивной площадки, малых архитектурных форм в корпусе в д.Песьянка, обустройство пандуса в корпусе в д.Ванюки)</t>
  </si>
  <si>
    <t>МБОУ "Конзаводская средняя школа" (приобретение автобуса)</t>
  </si>
  <si>
    <t>Подпрограмма 7 "Обеспечение реализации Программы и прочие мероприятия в области образования"</t>
  </si>
  <si>
    <t>ВСЕГО, в т.ч.:</t>
  </si>
  <si>
    <t>Бюджет Пермского района</t>
  </si>
  <si>
    <t>Отчетный 2018 год</t>
  </si>
  <si>
    <t>Федер. бюджет</t>
  </si>
  <si>
    <t>Предоставление субсидии на обеспечение открытия и оснащения новых детских садов с образованием юридического лица</t>
  </si>
  <si>
    <t>Организация подвоза учителей в образовательные учреждения в связи с производственной необходимостью</t>
  </si>
  <si>
    <t>Инвестиционный проект "Приобретение здания для размещения детского сада в д. Кондратово Пермского муниципального района"</t>
  </si>
  <si>
    <t>Приобретение здания для размещения детского сада в с. Култаево Пермского муниципального района</t>
  </si>
  <si>
    <t>Реконструкция здания детского сада"Семицветик" Двуреченского сельского поселения</t>
  </si>
  <si>
    <t xml:space="preserve">Проектирование объекта "Реконструкция здания школы в п.Сылва" </t>
  </si>
  <si>
    <t>Проектирование объекта «Строительство здания  детского сада в п. Горный Двуреченского сельского поселения»</t>
  </si>
  <si>
    <t>Проектирование объекта «Строительство здания детского сада в с. Лобаново»</t>
  </si>
  <si>
    <t xml:space="preserve">Проектирование объекта "Строительство школы в п.Горный Пермского муниципального района" </t>
  </si>
  <si>
    <t>Оснащение детского сада в д. Кондратово Пермского муниципального района</t>
  </si>
  <si>
    <t xml:space="preserve">Оснащение дополнительных мест в дошкольных организациях </t>
  </si>
  <si>
    <t xml:space="preserve">Капитальный ремонт МАОУ "Усть-Качкинская средняя школа" </t>
  </si>
  <si>
    <t>Капитальный ремонт МАОУ "Курашимская средняя школа" (Устройство ограждения территории, пандуса у входной группы, ремонт наружного освещения, ремонт кабинетов, асфальтирование подъездных путей)</t>
  </si>
  <si>
    <t xml:space="preserve">Благоустройство территории школы в с. Фролы по адресу ул.Светлая </t>
  </si>
  <si>
    <t xml:space="preserve">Благоустройство территории  детского сада д. Горшки Заболотского сельского поселения </t>
  </si>
  <si>
    <t>Капитальный ремонт МАОУ "Култаевская средняя школа" (Ремонт фасада, крыльца и входной группы, устройство эвакуационного выхода)</t>
  </si>
  <si>
    <t>Выполнение проектно-изыскательских работ по объекту "Капитальный ремонт МАДОУ "Бершетский детский сад "Умка"  (обустройство выходов из подвала, лестниц 3-го типа, ремонт системы водоснабжения)"</t>
  </si>
  <si>
    <t>Выполнение  проектно-изыскательских работ по объекту "Капитальный ремонт МАОУ "Мулянская средняя школа" (отделка фасада (заделка трещин), восстановление штукатурного и окрасочного слоя подвального перекрытия и стен подвала, гидроизоляция фундаментов и пола подвала, ремонт полов, ремонт отмостки, огораживание школы)"</t>
  </si>
  <si>
    <t>Капитальный ремонт МАОУ "Юговская средняя школа" (Демонтаж и новое устройство строительных конструкций входной группы)</t>
  </si>
  <si>
    <t>Ремонт МБДОУ "Нижнемуллинский детский сад "Светлячок" (Ремонт внутренних систем водоснабжения и канализации, наружных сетей водоснабжения и канализации)</t>
  </si>
  <si>
    <t>Ремонт МБДОУ "Нижнемуллинский детский сад "Светлячок" (Ремонт системы отопления)</t>
  </si>
  <si>
    <t>Капитальный ремонт МАОУ "Сылвенская средняя школа" (ремонт ограждения школы)</t>
  </si>
  <si>
    <t>Капитальный ремонт МАОУ "Мулянская средняя школа" (ремонт ограждения)</t>
  </si>
  <si>
    <t>Капитальный ремонт МАОУ "Рождественская основная школа" (ремонт ограждения школы)</t>
  </si>
  <si>
    <t>Капитальный ремонт МАОУ "Хохловская основная школа" (ремонт ограждения школы)</t>
  </si>
  <si>
    <t>Проектирование объекта "Ремонт МБДОУ "Нижнемуллинский детский сад "Светлячок" (Ремонт внутренних систем водоснабжения и канализации, наружных сетей водоснабжения и канализации)"</t>
  </si>
  <si>
    <t>МБОУ "Баш-Култаевская основная школа" (приобретение автобуса)</t>
  </si>
  <si>
    <t>МАОУ "Усть-Качкинская средняя школа" (приобретение автобусов)</t>
  </si>
  <si>
    <t>МАОУ "Фроловская средняя школа" (приобретение автобуса)</t>
  </si>
  <si>
    <t xml:space="preserve"> МАОУ "Фроловская средняя школа" (Комплекс мероприятий, направленный на подготовку образовательного учреждения к лицензированию и началу образовательного процесса (п.5.3.7. раздела 6, приложения 7)</t>
  </si>
  <si>
    <t>МАОУ "Уральская ООШ" (ремонт прогулочных веранд, ремонт помещений, расчет пожарных рисков, пожарная декларация,  установка АУПС и СОУЭ)</t>
  </si>
  <si>
    <t>МАОУ "Лобановская средняя школа" (ремонт АПС в филиале в д.Мостовая, установка противопожарных дверей)</t>
  </si>
  <si>
    <t>МБДОУ "Сылвенский детский сад "Журавлик" (Ремонт помещений,  ремонт узла ХВС, установка перегородки в медблоке )</t>
  </si>
  <si>
    <t>МАОУ "Фроловская средняя школа" (Ремонт помещений структурного подразделения, приобретение детской мебели, оборудования, инвентаря, материалов для медицинского кабинета, установка шлагбаума, ремонт пола, системы водоснабжения, текущий ремонт крыши, электромонтажные работы)</t>
  </si>
  <si>
    <t>МАДОУ "Бершетский детский сад "Умка" (модернизация системы видеонаблюдения (монтажные работы, приобретение оборудования для проведения модернизации), благоустройство территории(перенос калитки,устройство пешеходной дорожки, ремонт АПС)</t>
  </si>
  <si>
    <t>МАДОУ "Гамовский детский сад "Радуга" (модернизация системы видеонаблюдения (монтажные работы, приобретение оборудования для проведения модернизации))</t>
  </si>
  <si>
    <t>МАДОУ "Двуреченский детский сад "Семицветик" (модернизация системы видеонаблюдения (монтажные работы, приобретение оборудования для проведения модернизации), монтаж домофонов, ремонт кровли)</t>
  </si>
  <si>
    <t>МАДОУ "Култаевский детский сад "Капитошка" (модернизация системы видеонаблюдения (монтажные работы, приобретение оборудования для проведения модернизации), приобретение детской мебели)</t>
  </si>
  <si>
    <t>МБДОУ "Курашимский детский сад "Лесная сказка" (модернизация системы видеонаблюдения (монтажные работы, приобретение оборудования для проведения модернизации))</t>
  </si>
  <si>
    <t>МАДОУ "Лобановский детский сад "Солнечный город" (модернизация системы видеонаблюдения (монтажные работы, приобретение оборудования для проведения модернизации), монтаж видеодомофонов)</t>
  </si>
  <si>
    <t>МАДОУ "Платошинский детский сад "Солнышко" (модернизация системы видеонаблюдения (монтажные работы, приобретение оборудования для проведения модернизации), ремонт АПС, расчет пожарных рисков, пожарная декларация, установка домофона)</t>
  </si>
  <si>
    <t>МБДОУ "Савинский детский сад "Созвездие" (модернизация системы видеонаблюдения (монтажные работы, приобретение оборудования для проведения модернизации), ремонт пола на путях эвакуации, приобретние МФУ)</t>
  </si>
  <si>
    <t>МАДОУ "Сылвенский детский сад "Рябинка" (модернизация системы видеонаблюдения (монтажные работы, приобретение оборудования для проведения модернизации), ремонт полов на путях эвакуации)</t>
  </si>
  <si>
    <t>МБДОУ "Сылвенский детский сад "Журавлик" (модернизация системы видеонаблюдения (монтажные работы, приобретение оборудования для проведения модернизации), монтаж видеодомофонов, переоформление технического паспорта)</t>
  </si>
  <si>
    <t>МБДОУ "Усть-Качкинский детский сад "Огонек" (модернизация системы видеонаблюдения (монтажные работы, приобретение оборудования для проведения модернизации), ремонт АПС, установка плафонов под козырьком, ремонт окон, приобретение детской мебели)</t>
  </si>
  <si>
    <t>МАДОУ "Юго-Камский детский сад "Планета детства" (модернизация системы видеонаблюдения (монтажные работы, приобретение оборудования для проведения модернизации), монтаж видеодомофонов, замена узлов учета тепла, инструментальное обследование здания, мониторинг за состоянием несущих конструкций здания)</t>
  </si>
  <si>
    <t>МАОУ "Бабкинская средняя школа" (модернизация системы видеонаблюдения (монтажные работы, приобретение оборудования для проведения модернизации), замена светильников)</t>
  </si>
  <si>
    <t>МАОУ "Кондратовская средняя школа" (модернизация системы видеонаблюдения (монтажные работы, приобретение оборудования для проведения модернизации))</t>
  </si>
  <si>
    <t>МБОУ "Конзаводская средняя школа" (модернизация системы видеонаблюдения (монтажные работы, приобретение оборудования для проведения модернизации), ремонт полов, замена блока СКЗИ, установка системы монитроинга Глонасс/GSM)</t>
  </si>
  <si>
    <t>МАОУ "Курашимская средняя школа" ((модернизация системы видеонаблюдения (монтажные работы, приобретение оборудования для проведения модернизации), установка турникета, ремонт кровли)</t>
  </si>
  <si>
    <t>МАОУ "Лобановская средняя школа" (модернизация системы видеонаблюдения (монтажные работы, приобретение оборудования для проведения модернизации), оборудование площадки с твердым покрытием для мусорного контейнера, ремонт в учебных кабинетах (замена полов из линолеума, установка раковин, подведение воды) оборудование контура заземления)</t>
  </si>
  <si>
    <t>МАОУ "Мулянская средняя школа" (модернизация системы видеонаблюдения (монтажные работы, приобретение оборудования для проведения модернизации), ремонт медицинского кабинета, приобретение оборудования, инвентаря, материалов для медицинского кабинета)</t>
  </si>
  <si>
    <t>МАОУ "Платошинская средняя школа" ((модернизация системы видеонаблюдения (монтажные работы, приобретение оборудования для проведения модернизации), установка турникетов; ремонт санузла, прачечной, полов в филиале в д.Байболовка)</t>
  </si>
  <si>
    <t>МАОУ "Соколовская средняя школа" (установка турникетов, приобретение компьютерной техники)</t>
  </si>
  <si>
    <t>МАОУ "Сылвенская средняя школа" (модернизация системы видеонаблюдения (монтажные работы, приобретение оборудования для проведения модернизации), аварийное освещение)</t>
  </si>
  <si>
    <t>МАОУ "Усть-Качкинская средняя школа" (модернизация системы видеонаблюдения (монтажные работы, приобретение оборудования для проведения модернизации))</t>
  </si>
  <si>
    <t>МАОУ "Фроловская средняя школа" (модернизация системы видеонаблюдения (монтажные работы, приобретение оборудования для проведения модернизации), электромонтажные работы, ремонт пола)</t>
  </si>
  <si>
    <t>МАОУ "Юговская средняя школа" (модернизация системы видеонаблюдения (монтажные работы, приобретение оборудования для проведения модернизации), демонтажные работы, благоустройство территории, расчет пожарных рисков, укрепление ступеней входной группы)</t>
  </si>
  <si>
    <t>МАОУ "Юго-Камская средняя школа" ((модернизация системы видеонаблюдения (монтажные работы, приобретение оборудования для проведения модернизации), установка турникетов, модернизация пожарной сигнализации (монтажные работы) в здании начальной школы), обработка огнезащитным составом деревянных конструкций чердака)</t>
  </si>
  <si>
    <t>МБОУ "Баш-Култаевская основнаяшкола" (модернизация системы видеонаблюдения (монтажные работы, приобретение оборудования для проведения модернизации))</t>
  </si>
  <si>
    <t>МБОУ "Заболотская основная школа" ((модернизация системы видеонаблюдения (монтажные работы, приобретение оборудования для проведения модернизации), установка турникетов)</t>
  </si>
  <si>
    <t>МБОУ "Кояновская основная школа" ((модернизация системы видеонаблюдения (монтажные работы, приобретение оборудования для проведения модернизации), ремонт забора)</t>
  </si>
  <si>
    <t>МАОУ "Лядовская основная школа" (модернизация системы видеонаблюдения (монтажные работы, приобретение оборудования для проведения модернизации), расчет пожарных рисков, ремонт вентиляционных шахт, ремонт АУПС и СОУЭ)</t>
  </si>
  <si>
    <t>МАОУ "Рождественская основная школа" ((модернизация системы видеонаблюдения (монтажные работы, приобретение оборудования для проведения модернизации), ремонт забора, испытание наружных пожарных лестниц, монтаж и наладка охранной сигнализации, ремонт системы электроснабжения, ремонт автобуса)</t>
  </si>
  <si>
    <t>МАОУ "Уральская основная школа" (модернизация системы видеонаблюдения (монтажные работы, приобретение оборудования для проведения модернизации))</t>
  </si>
  <si>
    <t>МАОУ "Хохловская основная школа" ((модернизация системы видеонаблюдения (монтажные работы, приобретение оборудования для проведения модернизации), установка турникетов, приобретение оборудования для пищеблока, ремонт медицинского кабинета, приобретение оборудования, мебели, инвентаря, материалов для медицинского кабинета)</t>
  </si>
  <si>
    <t>МБДОУ "Савинский детский сад "Созвездие" (Обустройство и оснащение спортивной площадки, малых архитектурных форм в корпусе в д.Песьянка, обустройство пандуса в корпусе в д.Ванюки)</t>
  </si>
  <si>
    <t>МАОУ "Усть-Качкинская средняя школа" (строительные материалы для обустройства крылец главного и запасных выходов, замена дверей, приобретение и установка доводчиков, приобретение оборудования для медицинского кабинета, оргтехники, фото-, аудиотехники, детской мебели, игрового и спортивного, музыкального оборудования, игрушек, методической литературы, облучателя рециркулятора настенного)</t>
  </si>
  <si>
    <t>МАДОУ "Култаевский детский сад "Колокольчик" (кронирование деревьев, ремонт кровли)</t>
  </si>
  <si>
    <t>МАОУ "Савинская средняя школа" (ремонт туалетов, ремонт кровли)</t>
  </si>
  <si>
    <t>МАДОУ "Кондратовкий детский сад "Ладошки"(ремонт санузлов в группах)</t>
  </si>
  <si>
    <t>МАОУ "Гамовская средняя школа"(ремонт кровли, замена теплообменника, ремонт автобуса, установка тахографа, карта водителя с СКЗИ, аварийное освещение на путях эвакуации)</t>
  </si>
  <si>
    <t>МАОУ "Нижнемуллинская средняя школа" (ремонт кровли)</t>
  </si>
  <si>
    <t>МАОУ "Бершетская средняя школа" (установка противопожарной двери, ремонт помещений электрощитовой)</t>
  </si>
  <si>
    <t>МАДОУ "Юго-Камский детский сад "Планета детства" (ремонт отмостки, ремонт цоколя, системы водоотведения, ремонт прогулочной веранды, сантехнические работы: устройство воздушных разрывов, замена сантехнических труб, монтаж раковин для технических целей, установка водопроводных кранов, установка светильников, восстановление АПС, установка дверей)</t>
  </si>
  <si>
    <t>МАДОУ "Гамовский детский сад "Мозаика" (приобретение детской мебели)</t>
  </si>
  <si>
    <t>МАОУ "Нижнемуллинская средняя школа" (ремонт потолков и стен спортзала)</t>
  </si>
  <si>
    <t>МАОУ "Платошинская средняя школа" (ремонт электрической системы освещения, потолков и стен в спортивном зале, монтаж автоматической пожарной сигнализации и системы оповещения в спортивном зале)</t>
  </si>
  <si>
    <t>МАОУ "Бабкинская средняя школа" (ремонт крыши)</t>
  </si>
  <si>
    <t>МБДОУ "Нижнемуллинский детский сад "Светлячок" (установка наружного освещения)</t>
  </si>
  <si>
    <t>Основное мероприятие «Строительство спортивных объектов, устройство спортивных площадок и оснащение объектов спортивным оборудованием и инвентарем для занятий физической культурой и спортом"</t>
  </si>
  <si>
    <t>Устройство площадки "Малая универсальная спортивная площадка д. Скобелевка Пермского района"</t>
  </si>
  <si>
    <t>Ремонт МАОУ "Бабкинская средняя школа" (Устройство крытой спортивной площадки (текущий ремонт спортивного зала, раздевалок))</t>
  </si>
  <si>
    <t>Ремонт МАОУ "Нижнемуллинская средняя школа" (Устройство крытой спортивной площадки (текущий ремонт спортивного зала, раздевалок))</t>
  </si>
  <si>
    <t>Ремонт МАОУ "Курашимская средняя школа" (Устройство крытой спортивной площадки (текущий ремонт спортивного зала, раздевалок))</t>
  </si>
  <si>
    <t>Ремонт МАОУ "Лобановская средняя школа" (Устройство крытой спортивной площадки (текущий ремонт спортивного зала))</t>
  </si>
  <si>
    <t>Ремонт МАОУ "Платошинская средняя школа" (Устройство крытой спортивной площадки (текущий ремонт спортивного зала, раздевалок))</t>
  </si>
  <si>
    <t>Ремонт МАОУ " Юговская средняя школа" (Устройство крытой спортивной площадки (текущий ремонт спортивного зала, раздевалок))</t>
  </si>
  <si>
    <t>Ремонт МАОУ "Бершетская средняя школа" (Устройство крытой спортивной площадки (текущий ремонт спортивного зала, раздевалок))</t>
  </si>
  <si>
    <t>Оснащение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 (здание общеобразовательной школы в с.Фролы)</t>
  </si>
  <si>
    <t>Ремонт МАОУ "Гамовская средняя школа" (Устройство крытой спортивной площадки (текущий ремонт спортивного зала, раздевалок))</t>
  </si>
  <si>
    <t>Предоставление выплаты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</si>
  <si>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Расходы на реализацию муниципальной программы за отчетный период 2018 год, тыс.руб.</t>
  </si>
  <si>
    <t>Управление культуры (УК)</t>
  </si>
  <si>
    <t>откл</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</si>
</sst>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 numFmtId="177" formatCode="[$-FC19]d\ mmmm\ yyyy\ &quot;г.&quot;"/>
    <numFmt numFmtId="178" formatCode="dd/mm/yy;@"/>
    <numFmt numFmtId="179" formatCode="#,##0&quot;р.&quot;"/>
    <numFmt numFmtId="180" formatCode="0.0"/>
    <numFmt numFmtId="181" formatCode="#,##0.0"/>
    <numFmt numFmtId="182" formatCode="#,##0.000"/>
    <numFmt numFmtId="183" formatCode="#,##0.0000"/>
    <numFmt numFmtId="184" formatCode="0.000"/>
    <numFmt numFmtId="185" formatCode="0.000000"/>
    <numFmt numFmtId="186" formatCode="0.0000000"/>
    <numFmt numFmtId="187" formatCode="0.00000"/>
    <numFmt numFmtId="188" formatCode="0.0000"/>
    <numFmt numFmtId="189" formatCode="0.00000000"/>
  </numFmts>
  <fonts count="48">
    <font>
      <sz val="10"/>
      <name val="Arial Cyr"/>
      <family val="0"/>
    </font>
    <font>
      <sz val="11"/>
      <name val="Times New Roman"/>
      <family val="1"/>
    </font>
    <font>
      <b/>
      <sz val="11"/>
      <name val="Times New Roman"/>
      <family val="1"/>
    </font>
    <font>
      <b/>
      <sz val="12"/>
      <name val="Times New Roman"/>
      <family val="1"/>
    </font>
    <font>
      <sz val="12"/>
      <name val="Times New Roman"/>
      <family val="1"/>
    </font>
    <font>
      <sz val="14"/>
      <name val="Times New Roman"/>
      <family val="1"/>
    </font>
    <font>
      <u val="single"/>
      <sz val="12"/>
      <name val="Times New Roman"/>
      <family val="1"/>
    </font>
    <font>
      <b/>
      <u val="single"/>
      <sz val="12"/>
      <name val="Times New Roman"/>
      <family val="1"/>
    </font>
    <font>
      <b/>
      <sz val="14"/>
      <name val="Times New Roman"/>
      <family val="1"/>
    </font>
    <font>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hair"/>
      <right style="hair"/>
      <top style="hair"/>
      <bottom style="hair"/>
    </border>
    <border>
      <left style="hair"/>
      <right>
        <color indexed="63"/>
      </right>
      <top>
        <color indexed="63"/>
      </top>
      <bottom style="hair"/>
    </border>
    <border>
      <left style="hair"/>
      <right>
        <color indexed="63"/>
      </right>
      <top style="hair"/>
      <bottom style="hair"/>
    </border>
    <border>
      <left>
        <color indexed="63"/>
      </left>
      <right style="thin"/>
      <top style="thin"/>
      <bottom style="thin"/>
    </border>
    <border>
      <left>
        <color indexed="63"/>
      </left>
      <right style="hair"/>
      <top style="hair"/>
      <bottom style="hair"/>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1" borderId="0" applyNumberFormat="0" applyBorder="0" applyAlignment="0" applyProtection="0"/>
  </cellStyleXfs>
  <cellXfs count="90">
    <xf numFmtId="0" fontId="0" fillId="0" borderId="0" xfId="0" applyAlignment="1">
      <alignment/>
    </xf>
    <xf numFmtId="0" fontId="1" fillId="32" borderId="0" xfId="0" applyNumberFormat="1" applyFont="1" applyFill="1" applyBorder="1" applyAlignment="1">
      <alignment horizontal="center" vertical="center" wrapText="1"/>
    </xf>
    <xf numFmtId="181" fontId="4" fillId="32" borderId="0" xfId="0" applyNumberFormat="1" applyFont="1" applyFill="1" applyBorder="1" applyAlignment="1">
      <alignment horizontal="center" vertical="center" wrapText="1"/>
    </xf>
    <xf numFmtId="0" fontId="4" fillId="32" borderId="0" xfId="0" applyNumberFormat="1" applyFont="1" applyFill="1" applyBorder="1" applyAlignment="1">
      <alignment horizontal="center" vertical="center" wrapText="1"/>
    </xf>
    <xf numFmtId="0" fontId="1" fillId="32" borderId="0" xfId="0" applyNumberFormat="1" applyFont="1" applyFill="1" applyBorder="1" applyAlignment="1">
      <alignment horizontal="left" vertical="center" wrapText="1"/>
    </xf>
    <xf numFmtId="0" fontId="5" fillId="32" borderId="0" xfId="0" applyNumberFormat="1" applyFont="1" applyFill="1" applyBorder="1" applyAlignment="1">
      <alignment vertical="center" wrapText="1"/>
    </xf>
    <xf numFmtId="181" fontId="2" fillId="32" borderId="10" xfId="0" applyNumberFormat="1" applyFont="1" applyFill="1" applyBorder="1" applyAlignment="1">
      <alignment horizontal="center" vertical="center" wrapText="1"/>
    </xf>
    <xf numFmtId="0" fontId="1" fillId="32" borderId="0" xfId="0" applyFont="1" applyFill="1" applyAlignment="1">
      <alignment horizontal="center" vertical="center"/>
    </xf>
    <xf numFmtId="0" fontId="1" fillId="32" borderId="10" xfId="0" applyFont="1" applyFill="1" applyBorder="1" applyAlignment="1">
      <alignment horizontal="center" vertical="center" wrapText="1"/>
    </xf>
    <xf numFmtId="181" fontId="2" fillId="32" borderId="10" xfId="0" applyNumberFormat="1" applyFont="1" applyFill="1" applyBorder="1" applyAlignment="1">
      <alignment horizontal="center" vertical="center"/>
    </xf>
    <xf numFmtId="180" fontId="4" fillId="32" borderId="10" xfId="0" applyNumberFormat="1" applyFont="1" applyFill="1" applyBorder="1" applyAlignment="1">
      <alignment horizontal="center" vertical="center" wrapText="1"/>
    </xf>
    <xf numFmtId="0" fontId="5" fillId="32" borderId="0" xfId="0" applyNumberFormat="1" applyFont="1" applyFill="1" applyBorder="1" applyAlignment="1">
      <alignment horizontal="left" vertical="center" wrapText="1"/>
    </xf>
    <xf numFmtId="0" fontId="5" fillId="32" borderId="0" xfId="0" applyNumberFormat="1" applyFont="1" applyFill="1" applyBorder="1" applyAlignment="1">
      <alignment horizontal="center" vertical="center" wrapText="1"/>
    </xf>
    <xf numFmtId="0" fontId="4" fillId="32" borderId="0" xfId="0" applyFont="1" applyFill="1" applyAlignment="1">
      <alignment horizontal="center" vertical="center"/>
    </xf>
    <xf numFmtId="0" fontId="3"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4" fillId="32" borderId="10" xfId="0" applyFont="1" applyFill="1" applyBorder="1" applyAlignment="1">
      <alignment horizontal="center" vertical="center" wrapText="1"/>
    </xf>
    <xf numFmtId="49" fontId="4" fillId="32" borderId="0" xfId="0" applyNumberFormat="1" applyFont="1" applyFill="1" applyBorder="1" applyAlignment="1">
      <alignment horizontal="center" vertical="center" wrapText="1"/>
    </xf>
    <xf numFmtId="0" fontId="4" fillId="32" borderId="0" xfId="0" applyNumberFormat="1" applyFont="1" applyFill="1" applyBorder="1" applyAlignment="1">
      <alignment vertical="center" wrapText="1"/>
    </xf>
    <xf numFmtId="0" fontId="4" fillId="32" borderId="0" xfId="0" applyFont="1" applyFill="1" applyAlignment="1">
      <alignment vertical="center"/>
    </xf>
    <xf numFmtId="2" fontId="4" fillId="32" borderId="0" xfId="0" applyNumberFormat="1" applyFont="1" applyFill="1" applyBorder="1" applyAlignment="1">
      <alignment horizontal="center" vertical="center" wrapText="1"/>
    </xf>
    <xf numFmtId="4" fontId="4" fillId="32" borderId="0" xfId="0" applyNumberFormat="1" applyFont="1" applyFill="1" applyBorder="1" applyAlignment="1">
      <alignment horizontal="center" vertical="center" wrapText="1"/>
    </xf>
    <xf numFmtId="49" fontId="3" fillId="32" borderId="0" xfId="0" applyNumberFormat="1" applyFont="1" applyFill="1" applyBorder="1" applyAlignment="1">
      <alignment horizontal="center" vertical="center" wrapText="1"/>
    </xf>
    <xf numFmtId="0" fontId="3" fillId="32" borderId="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xf>
    <xf numFmtId="0" fontId="3" fillId="32" borderId="10" xfId="0" applyNumberFormat="1" applyFont="1" applyFill="1" applyBorder="1" applyAlignment="1">
      <alignment horizontal="center" vertical="center" wrapText="1"/>
    </xf>
    <xf numFmtId="181" fontId="3" fillId="32" borderId="10" xfId="0" applyNumberFormat="1" applyFont="1" applyFill="1" applyBorder="1" applyAlignment="1">
      <alignment horizontal="center" vertical="center" wrapText="1"/>
    </xf>
    <xf numFmtId="181" fontId="3" fillId="32" borderId="11"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181" fontId="3" fillId="32" borderId="0" xfId="0" applyNumberFormat="1" applyFont="1" applyFill="1" applyBorder="1" applyAlignment="1">
      <alignment horizontal="center" vertical="center" wrapText="1"/>
    </xf>
    <xf numFmtId="181" fontId="4" fillId="32" borderId="10" xfId="0" applyNumberFormat="1" applyFont="1" applyFill="1" applyBorder="1" applyAlignment="1">
      <alignment horizontal="center" vertical="center" wrapText="1"/>
    </xf>
    <xf numFmtId="0" fontId="6" fillId="32" borderId="10" xfId="0" applyNumberFormat="1" applyFont="1" applyFill="1" applyBorder="1" applyAlignment="1">
      <alignment horizontal="left" vertical="center" wrapText="1"/>
    </xf>
    <xf numFmtId="49" fontId="4" fillId="32" borderId="10" xfId="0" applyNumberFormat="1" applyFont="1" applyFill="1" applyBorder="1" applyAlignment="1">
      <alignment vertical="center" wrapText="1"/>
    </xf>
    <xf numFmtId="49" fontId="4" fillId="32" borderId="10" xfId="0" applyNumberFormat="1" applyFont="1" applyFill="1" applyBorder="1" applyAlignment="1">
      <alignment horizontal="left" vertical="center" wrapText="1"/>
    </xf>
    <xf numFmtId="10" fontId="3" fillId="32"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xf>
    <xf numFmtId="0" fontId="3" fillId="32" borderId="10" xfId="0" applyFont="1" applyFill="1" applyBorder="1" applyAlignment="1">
      <alignment horizontal="center" vertical="center" wrapText="1"/>
    </xf>
    <xf numFmtId="49" fontId="3" fillId="32" borderId="12" xfId="0" applyNumberFormat="1" applyFont="1" applyFill="1" applyBorder="1" applyAlignment="1">
      <alignment horizontal="center" vertical="center" wrapText="1"/>
    </xf>
    <xf numFmtId="49" fontId="3" fillId="32" borderId="13" xfId="0" applyNumberFormat="1" applyFont="1" applyFill="1" applyBorder="1" applyAlignment="1">
      <alignment horizontal="center" vertical="center" wrapText="1"/>
    </xf>
    <xf numFmtId="49" fontId="4" fillId="32" borderId="13" xfId="0" applyNumberFormat="1" applyFont="1" applyFill="1" applyBorder="1" applyAlignment="1">
      <alignment horizontal="center" vertical="center" wrapText="1"/>
    </xf>
    <xf numFmtId="49" fontId="4" fillId="32" borderId="12" xfId="0" applyNumberFormat="1" applyFont="1" applyFill="1" applyBorder="1" applyAlignment="1">
      <alignment horizontal="center" vertical="center" wrapText="1"/>
    </xf>
    <xf numFmtId="0" fontId="3" fillId="32" borderId="14" xfId="0" applyFont="1" applyFill="1" applyBorder="1" applyAlignment="1">
      <alignment horizontal="center" vertical="center" wrapText="1"/>
    </xf>
    <xf numFmtId="181" fontId="3" fillId="32" borderId="14" xfId="0" applyNumberFormat="1" applyFont="1" applyFill="1" applyBorder="1" applyAlignment="1">
      <alignment horizontal="center" vertical="center" wrapText="1"/>
    </xf>
    <xf numFmtId="181" fontId="3" fillId="32" borderId="15" xfId="0" applyNumberFormat="1" applyFont="1" applyFill="1" applyBorder="1" applyAlignment="1">
      <alignment horizontal="center" vertical="center" wrapText="1"/>
    </xf>
    <xf numFmtId="49" fontId="3" fillId="32" borderId="10" xfId="0" applyNumberFormat="1" applyFont="1" applyFill="1" applyBorder="1" applyAlignment="1">
      <alignment horizontal="center" vertical="center" wrapText="1"/>
    </xf>
    <xf numFmtId="4" fontId="3" fillId="32" borderId="10" xfId="0" applyNumberFormat="1" applyFont="1" applyFill="1" applyBorder="1" applyAlignment="1">
      <alignment horizontal="center" vertical="center" wrapText="1"/>
    </xf>
    <xf numFmtId="0" fontId="4" fillId="32" borderId="10" xfId="0" applyNumberFormat="1" applyFont="1" applyFill="1" applyBorder="1" applyAlignment="1">
      <alignment horizontal="left" vertical="center" wrapText="1"/>
    </xf>
    <xf numFmtId="0" fontId="4" fillId="32" borderId="10" xfId="0" applyNumberFormat="1" applyFont="1" applyFill="1" applyBorder="1" applyAlignment="1">
      <alignment horizontal="left" vertical="top" wrapText="1" shrinkToFit="1"/>
    </xf>
    <xf numFmtId="0" fontId="4" fillId="0" borderId="10" xfId="0" applyNumberFormat="1" applyFont="1" applyFill="1" applyBorder="1" applyAlignment="1">
      <alignment horizontal="left" vertical="top" wrapText="1" shrinkToFit="1"/>
    </xf>
    <xf numFmtId="0" fontId="6" fillId="32" borderId="10" xfId="0" applyFont="1" applyFill="1" applyBorder="1" applyAlignment="1">
      <alignment vertical="center" wrapText="1"/>
    </xf>
    <xf numFmtId="0" fontId="6" fillId="32" borderId="10" xfId="0" applyFont="1" applyFill="1" applyBorder="1" applyAlignment="1">
      <alignment wrapText="1"/>
    </xf>
    <xf numFmtId="0" fontId="4" fillId="32"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3" fillId="32" borderId="10" xfId="0" applyFont="1" applyFill="1" applyBorder="1" applyAlignment="1">
      <alignment wrapText="1"/>
    </xf>
    <xf numFmtId="4" fontId="4" fillId="32" borderId="10" xfId="0" applyNumberFormat="1" applyFont="1" applyFill="1" applyBorder="1" applyAlignment="1">
      <alignment horizontal="center" vertical="center" wrapText="1"/>
    </xf>
    <xf numFmtId="0" fontId="3" fillId="32" borderId="10" xfId="0" applyFont="1" applyFill="1" applyBorder="1" applyAlignment="1">
      <alignment vertical="center" wrapText="1"/>
    </xf>
    <xf numFmtId="181" fontId="4" fillId="0" borderId="10" xfId="0" applyNumberFormat="1" applyFont="1" applyFill="1" applyBorder="1" applyAlignment="1">
      <alignment horizontal="center" vertical="center" wrapText="1"/>
    </xf>
    <xf numFmtId="0" fontId="4" fillId="0" borderId="10" xfId="0" applyFont="1" applyFill="1" applyBorder="1" applyAlignment="1">
      <alignment wrapText="1"/>
    </xf>
    <xf numFmtId="181" fontId="3" fillId="0" borderId="10" xfId="0" applyNumberFormat="1" applyFont="1" applyFill="1" applyBorder="1" applyAlignment="1">
      <alignment horizontal="center" vertical="center" wrapText="1"/>
    </xf>
    <xf numFmtId="0" fontId="4" fillId="32" borderId="10" xfId="0" applyNumberFormat="1" applyFont="1" applyFill="1" applyBorder="1" applyAlignment="1">
      <alignment vertical="center" wrapText="1" shrinkToFit="1"/>
    </xf>
    <xf numFmtId="0" fontId="3"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xf>
    <xf numFmtId="181" fontId="1" fillId="32" borderId="10" xfId="0" applyNumberFormat="1" applyFont="1" applyFill="1" applyBorder="1" applyAlignment="1">
      <alignment horizontal="center" vertical="center"/>
    </xf>
    <xf numFmtId="2" fontId="1" fillId="32" borderId="10" xfId="0" applyNumberFormat="1" applyFont="1" applyFill="1" applyBorder="1" applyAlignment="1">
      <alignment horizontal="center" vertical="center"/>
    </xf>
    <xf numFmtId="0" fontId="3" fillId="32" borderId="10" xfId="0" applyNumberFormat="1" applyFont="1" applyFill="1" applyBorder="1" applyAlignment="1">
      <alignment horizontal="center" vertical="center" wrapText="1"/>
    </xf>
    <xf numFmtId="0" fontId="8" fillId="32" borderId="0" xfId="0" applyFont="1" applyFill="1" applyAlignment="1">
      <alignment horizontal="center" vertical="center" wrapText="1"/>
    </xf>
    <xf numFmtId="0" fontId="4" fillId="32" borderId="10" xfId="0" applyNumberFormat="1" applyFont="1" applyFill="1" applyBorder="1" applyAlignment="1">
      <alignment horizontal="center" vertical="center" wrapText="1"/>
    </xf>
    <xf numFmtId="0" fontId="5" fillId="32" borderId="0" xfId="0" applyFont="1" applyFill="1" applyAlignment="1">
      <alignment horizontal="center" vertical="center"/>
    </xf>
    <xf numFmtId="49" fontId="4" fillId="32" borderId="16" xfId="0" applyNumberFormat="1" applyFont="1" applyFill="1" applyBorder="1" applyAlignment="1">
      <alignment horizontal="center" vertical="center" wrapText="1"/>
    </xf>
    <xf numFmtId="0" fontId="4" fillId="32" borderId="10" xfId="0" applyNumberFormat="1" applyFont="1" applyFill="1" applyBorder="1" applyAlignment="1">
      <alignment horizontal="center" vertical="center"/>
    </xf>
    <xf numFmtId="49" fontId="4" fillId="32" borderId="10" xfId="0" applyNumberFormat="1" applyFont="1" applyFill="1" applyBorder="1" applyAlignment="1">
      <alignment horizontal="left" vertical="center" wrapText="1"/>
    </xf>
    <xf numFmtId="0" fontId="3" fillId="32" borderId="10" xfId="0" applyFont="1" applyFill="1" applyBorder="1" applyAlignment="1">
      <alignment horizontal="left" vertical="center" wrapText="1"/>
    </xf>
    <xf numFmtId="0" fontId="2" fillId="32" borderId="10" xfId="0" applyFont="1" applyFill="1" applyBorder="1" applyAlignment="1">
      <alignment horizontal="center" vertical="center" wrapText="1"/>
    </xf>
    <xf numFmtId="0" fontId="2" fillId="32" borderId="17" xfId="0" applyFont="1" applyFill="1" applyBorder="1" applyAlignment="1">
      <alignment horizontal="center" vertical="center" wrapText="1"/>
    </xf>
    <xf numFmtId="0" fontId="2" fillId="32" borderId="18" xfId="0" applyFont="1" applyFill="1" applyBorder="1" applyAlignment="1">
      <alignment horizontal="center" vertical="center" wrapText="1"/>
    </xf>
    <xf numFmtId="0" fontId="2" fillId="32" borderId="19" xfId="0" applyFont="1" applyFill="1" applyBorder="1" applyAlignment="1">
      <alignment horizontal="center" vertical="center" wrapText="1"/>
    </xf>
    <xf numFmtId="0" fontId="5" fillId="32" borderId="0" xfId="0" applyNumberFormat="1" applyFont="1" applyFill="1" applyBorder="1" applyAlignment="1">
      <alignment horizontal="left" vertical="center" wrapText="1"/>
    </xf>
    <xf numFmtId="0" fontId="4" fillId="32" borderId="0" xfId="0" applyFont="1" applyFill="1" applyAlignment="1">
      <alignment horizontal="center" vertical="center"/>
    </xf>
    <xf numFmtId="0" fontId="3" fillId="32" borderId="0" xfId="0" applyFont="1" applyFill="1" applyAlignment="1">
      <alignment horizontal="center" vertical="center" wrapText="1"/>
    </xf>
    <xf numFmtId="0" fontId="3" fillId="32" borderId="16" xfId="0" applyFont="1" applyFill="1" applyBorder="1" applyAlignment="1">
      <alignment horizontal="center" vertical="center" wrapText="1"/>
    </xf>
    <xf numFmtId="0" fontId="3" fillId="32" borderId="20"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Y220"/>
  <sheetViews>
    <sheetView tabSelected="1" view="pageBreakPreview" zoomScale="68" zoomScaleNormal="70" zoomScaleSheetLayoutView="68" workbookViewId="0" topLeftCell="B1">
      <pane xSplit="6" ySplit="17" topLeftCell="H124" activePane="bottomRight" state="frozen"/>
      <selection pane="topLeft" activeCell="B1" sqref="B1"/>
      <selection pane="topRight" activeCell="H1" sqref="H1"/>
      <selection pane="bottomLeft" activeCell="B18" sqref="B18"/>
      <selection pane="bottomRight" activeCell="K124" sqref="K124"/>
    </sheetView>
  </sheetViews>
  <sheetFormatPr defaultColWidth="9.00390625" defaultRowHeight="12.75"/>
  <cols>
    <col min="1" max="1" width="9.75390625" style="17" hidden="1" customWidth="1"/>
    <col min="2" max="2" width="107.00390625" style="18" customWidth="1"/>
    <col min="3" max="3" width="17.875" style="3" customWidth="1"/>
    <col min="4" max="4" width="6.375" style="3" hidden="1" customWidth="1"/>
    <col min="5" max="5" width="11.25390625" style="3" hidden="1" customWidth="1"/>
    <col min="6" max="6" width="13.375" style="17" hidden="1" customWidth="1"/>
    <col min="7" max="7" width="5.25390625" style="3" hidden="1" customWidth="1"/>
    <col min="8" max="8" width="12.00390625" style="3" customWidth="1"/>
    <col min="9" max="9" width="14.375" style="3" bestFit="1" customWidth="1"/>
    <col min="10" max="10" width="13.25390625" style="3" customWidth="1"/>
    <col min="11" max="11" width="14.625" style="3" customWidth="1"/>
    <col min="12" max="12" width="14.25390625" style="18" bestFit="1" customWidth="1"/>
    <col min="13" max="16" width="14.25390625" style="18" customWidth="1"/>
    <col min="17" max="17" width="13.00390625" style="18" bestFit="1" customWidth="1"/>
    <col min="18" max="18" width="16.00390625" style="18" customWidth="1"/>
    <col min="19" max="20" width="0" style="18" hidden="1" customWidth="1"/>
    <col min="21" max="21" width="9.625" style="18" hidden="1" customWidth="1"/>
    <col min="22" max="22" width="0" style="18" hidden="1" customWidth="1"/>
    <col min="23" max="23" width="10.00390625" style="18" hidden="1" customWidth="1"/>
    <col min="24" max="24" width="0" style="18" hidden="1" customWidth="1"/>
    <col min="25" max="25" width="10.125" style="18" customWidth="1"/>
    <col min="26" max="16384" width="9.125" style="18" customWidth="1"/>
  </cols>
  <sheetData>
    <row r="1" spans="8:20" ht="18.75">
      <c r="H1" s="18"/>
      <c r="I1" s="18"/>
      <c r="M1" s="74" t="s">
        <v>240</v>
      </c>
      <c r="N1" s="74"/>
      <c r="O1" s="74"/>
      <c r="P1" s="74"/>
      <c r="Q1" s="19"/>
      <c r="R1" s="19"/>
      <c r="S1" s="19"/>
      <c r="T1" s="19"/>
    </row>
    <row r="2" spans="8:20" ht="18.75">
      <c r="H2" s="18"/>
      <c r="I2" s="18"/>
      <c r="J2" s="18"/>
      <c r="K2" s="18"/>
      <c r="M2" s="74" t="s">
        <v>241</v>
      </c>
      <c r="N2" s="74"/>
      <c r="O2" s="74"/>
      <c r="P2" s="74"/>
      <c r="Q2" s="19"/>
      <c r="R2" s="19"/>
      <c r="S2" s="19"/>
      <c r="T2" s="19"/>
    </row>
    <row r="3" spans="6:9" ht="15.75">
      <c r="F3" s="20"/>
      <c r="H3" s="21"/>
      <c r="I3" s="21"/>
    </row>
    <row r="4" spans="6:9" ht="15.75">
      <c r="F4" s="20"/>
      <c r="H4" s="21"/>
      <c r="I4" s="21"/>
    </row>
    <row r="5" spans="6:9" ht="15.75">
      <c r="F5" s="20"/>
      <c r="H5" s="21"/>
      <c r="I5" s="21"/>
    </row>
    <row r="6" spans="6:9" ht="15.75">
      <c r="F6" s="20"/>
      <c r="H6" s="21"/>
      <c r="I6" s="21"/>
    </row>
    <row r="7" spans="1:19" ht="18.75">
      <c r="A7" s="72" t="s">
        <v>230</v>
      </c>
      <c r="B7" s="72"/>
      <c r="C7" s="72"/>
      <c r="D7" s="72"/>
      <c r="E7" s="72"/>
      <c r="F7" s="72"/>
      <c r="G7" s="72"/>
      <c r="H7" s="72"/>
      <c r="I7" s="72"/>
      <c r="J7" s="72"/>
      <c r="K7" s="72"/>
      <c r="L7" s="72"/>
      <c r="M7" s="72"/>
      <c r="N7" s="72"/>
      <c r="O7" s="72"/>
      <c r="P7" s="72"/>
      <c r="Q7" s="72"/>
      <c r="R7" s="72"/>
      <c r="S7" s="72"/>
    </row>
    <row r="8" spans="1:19" ht="15" customHeight="1">
      <c r="A8" s="72" t="s">
        <v>231</v>
      </c>
      <c r="B8" s="72"/>
      <c r="C8" s="72"/>
      <c r="D8" s="72"/>
      <c r="E8" s="72"/>
      <c r="F8" s="72"/>
      <c r="G8" s="72"/>
      <c r="H8" s="72"/>
      <c r="I8" s="72"/>
      <c r="J8" s="72"/>
      <c r="K8" s="72"/>
      <c r="L8" s="72"/>
      <c r="M8" s="72"/>
      <c r="N8" s="72"/>
      <c r="O8" s="72"/>
      <c r="P8" s="72"/>
      <c r="Q8" s="72"/>
      <c r="R8" s="72"/>
      <c r="S8" s="72"/>
    </row>
    <row r="9" spans="1:19" ht="16.5" customHeight="1">
      <c r="A9" s="72" t="s">
        <v>232</v>
      </c>
      <c r="B9" s="72"/>
      <c r="C9" s="72"/>
      <c r="D9" s="72"/>
      <c r="E9" s="72"/>
      <c r="F9" s="72"/>
      <c r="G9" s="72"/>
      <c r="H9" s="72"/>
      <c r="I9" s="72"/>
      <c r="J9" s="72"/>
      <c r="K9" s="72"/>
      <c r="L9" s="72"/>
      <c r="M9" s="72"/>
      <c r="N9" s="72"/>
      <c r="O9" s="72"/>
      <c r="P9" s="72"/>
      <c r="Q9" s="72"/>
      <c r="R9" s="72"/>
      <c r="S9" s="72"/>
    </row>
    <row r="10" spans="1:11" ht="15.75" hidden="1">
      <c r="A10" s="22"/>
      <c r="B10" s="23"/>
      <c r="C10" s="23"/>
      <c r="D10" s="23"/>
      <c r="E10" s="23"/>
      <c r="F10" s="23"/>
      <c r="G10" s="23"/>
      <c r="H10" s="2">
        <f>H12-H18</f>
        <v>-152210</v>
      </c>
      <c r="I10" s="23"/>
      <c r="J10" s="23"/>
      <c r="K10" s="23"/>
    </row>
    <row r="11" spans="1:11" ht="15.75" hidden="1">
      <c r="A11" s="22"/>
      <c r="B11" s="23"/>
      <c r="C11" s="23"/>
      <c r="D11" s="23"/>
      <c r="E11" s="23"/>
      <c r="F11" s="23"/>
      <c r="G11" s="23"/>
      <c r="H11" s="2">
        <v>408355.3</v>
      </c>
      <c r="I11" s="3">
        <v>510394.7</v>
      </c>
      <c r="J11" s="23"/>
      <c r="K11" s="23"/>
    </row>
    <row r="12" spans="1:11" ht="15.75" hidden="1">
      <c r="A12" s="22"/>
      <c r="B12" s="23"/>
      <c r="C12" s="23"/>
      <c r="D12" s="23"/>
      <c r="E12" s="23"/>
      <c r="F12" s="23"/>
      <c r="G12" s="23"/>
      <c r="H12" s="2">
        <v>428246.8</v>
      </c>
      <c r="I12" s="3">
        <v>420783.5</v>
      </c>
      <c r="J12" s="23"/>
      <c r="K12" s="23"/>
    </row>
    <row r="13" spans="8:16" ht="15.75" hidden="1">
      <c r="H13" s="2">
        <v>36122.8</v>
      </c>
      <c r="I13" s="2">
        <v>18000</v>
      </c>
      <c r="J13" s="2"/>
      <c r="K13" s="2"/>
      <c r="L13" s="2"/>
      <c r="M13" s="2"/>
      <c r="N13" s="2"/>
      <c r="O13" s="2"/>
      <c r="P13" s="2"/>
    </row>
    <row r="14" spans="8:16" ht="15.75">
      <c r="H14" s="2"/>
      <c r="I14" s="2"/>
      <c r="J14" s="2"/>
      <c r="K14" s="2"/>
      <c r="L14" s="2"/>
      <c r="M14" s="2"/>
      <c r="N14" s="2"/>
      <c r="O14" s="2"/>
      <c r="P14" s="2"/>
    </row>
    <row r="15" spans="1:18" s="3" customFormat="1" ht="34.5" customHeight="1">
      <c r="A15" s="75" t="s">
        <v>12</v>
      </c>
      <c r="B15" s="73" t="s">
        <v>205</v>
      </c>
      <c r="C15" s="73" t="s">
        <v>54</v>
      </c>
      <c r="D15" s="76" t="s">
        <v>0</v>
      </c>
      <c r="E15" s="76"/>
      <c r="F15" s="76"/>
      <c r="G15" s="76"/>
      <c r="H15" s="73" t="s">
        <v>277</v>
      </c>
      <c r="I15" s="73"/>
      <c r="J15" s="73"/>
      <c r="K15" s="73"/>
      <c r="L15" s="73"/>
      <c r="M15" s="73"/>
      <c r="N15" s="73"/>
      <c r="O15" s="73"/>
      <c r="P15" s="73"/>
      <c r="Q15" s="73"/>
      <c r="R15" s="73"/>
    </row>
    <row r="16" spans="1:18" s="3" customFormat="1" ht="34.5" customHeight="1">
      <c r="A16" s="75"/>
      <c r="B16" s="73"/>
      <c r="C16" s="73"/>
      <c r="D16" s="39"/>
      <c r="E16" s="39"/>
      <c r="F16" s="39"/>
      <c r="G16" s="39"/>
      <c r="H16" s="71" t="s">
        <v>237</v>
      </c>
      <c r="I16" s="71"/>
      <c r="J16" s="71"/>
      <c r="K16" s="71"/>
      <c r="L16" s="71"/>
      <c r="M16" s="73" t="s">
        <v>238</v>
      </c>
      <c r="N16" s="73"/>
      <c r="O16" s="73"/>
      <c r="P16" s="73"/>
      <c r="Q16" s="73"/>
      <c r="R16" s="73" t="s">
        <v>239</v>
      </c>
    </row>
    <row r="17" spans="1:23" s="3" customFormat="1" ht="63">
      <c r="A17" s="75"/>
      <c r="B17" s="73"/>
      <c r="C17" s="73"/>
      <c r="D17" s="39" t="s">
        <v>1</v>
      </c>
      <c r="E17" s="38" t="s">
        <v>2</v>
      </c>
      <c r="F17" s="25" t="s">
        <v>3</v>
      </c>
      <c r="G17" s="39" t="s">
        <v>4</v>
      </c>
      <c r="H17" s="40" t="s">
        <v>233</v>
      </c>
      <c r="I17" s="40" t="s">
        <v>234</v>
      </c>
      <c r="J17" s="40" t="s">
        <v>235</v>
      </c>
      <c r="K17" s="40" t="s">
        <v>278</v>
      </c>
      <c r="L17" s="26" t="s">
        <v>229</v>
      </c>
      <c r="M17" s="40" t="s">
        <v>233</v>
      </c>
      <c r="N17" s="40" t="s">
        <v>234</v>
      </c>
      <c r="O17" s="40" t="s">
        <v>235</v>
      </c>
      <c r="P17" s="40" t="s">
        <v>278</v>
      </c>
      <c r="Q17" s="38" t="s">
        <v>229</v>
      </c>
      <c r="R17" s="73"/>
      <c r="S17" s="45" t="s">
        <v>233</v>
      </c>
      <c r="T17" s="14" t="s">
        <v>234</v>
      </c>
      <c r="U17" s="14" t="s">
        <v>235</v>
      </c>
      <c r="V17" s="14" t="s">
        <v>236</v>
      </c>
      <c r="W17" s="24" t="s">
        <v>229</v>
      </c>
    </row>
    <row r="18" spans="1:23" s="23" customFormat="1" ht="15.75" customHeight="1">
      <c r="A18" s="41" t="s">
        <v>13</v>
      </c>
      <c r="B18" s="71" t="s">
        <v>33</v>
      </c>
      <c r="C18" s="26" t="s">
        <v>11</v>
      </c>
      <c r="D18" s="26" t="s">
        <v>5</v>
      </c>
      <c r="E18" s="26" t="s">
        <v>5</v>
      </c>
      <c r="F18" s="48" t="s">
        <v>101</v>
      </c>
      <c r="G18" s="26" t="s">
        <v>5</v>
      </c>
      <c r="H18" s="27">
        <f>H19+H20+H21+H23</f>
        <v>580456.8</v>
      </c>
      <c r="I18" s="27">
        <f>I19+I20+I21+I23</f>
        <v>0</v>
      </c>
      <c r="J18" s="27">
        <f>J19+J20+J21+J23</f>
        <v>1656113.9</v>
      </c>
      <c r="K18" s="27">
        <f>K19+K20+K21+K23</f>
        <v>162673.1</v>
      </c>
      <c r="L18" s="27">
        <f>H18+I18+J18+K18</f>
        <v>2399243.8</v>
      </c>
      <c r="M18" s="27">
        <f>M19+M20+M21+M23</f>
        <v>562604.8</v>
      </c>
      <c r="N18" s="27">
        <f>N19+N20+N21+N23</f>
        <v>0</v>
      </c>
      <c r="O18" s="27">
        <f>O19+O20+O21+O23</f>
        <v>1460799.2</v>
      </c>
      <c r="P18" s="27">
        <f>P19+P20+P21+P23</f>
        <v>0</v>
      </c>
      <c r="Q18" s="27">
        <f aca="true" t="shared" si="0" ref="Q18:Q25">M18+N18+O18+P18</f>
        <v>2023404</v>
      </c>
      <c r="R18" s="36">
        <f>Q18/L18*100%</f>
        <v>0.8434</v>
      </c>
      <c r="S18" s="46">
        <f>H18-M18</f>
        <v>17852</v>
      </c>
      <c r="T18" s="26"/>
      <c r="U18" s="27">
        <f>J18-O18</f>
        <v>195314.7</v>
      </c>
      <c r="V18" s="27">
        <f>P18-K18</f>
        <v>-162673.1</v>
      </c>
      <c r="W18" s="27">
        <f>L18-Q18</f>
        <v>375839.8</v>
      </c>
    </row>
    <row r="19" spans="1:23" s="23" customFormat="1" ht="94.5">
      <c r="A19" s="42" t="s">
        <v>17</v>
      </c>
      <c r="B19" s="71"/>
      <c r="C19" s="26" t="s">
        <v>21</v>
      </c>
      <c r="D19" s="26">
        <v>774</v>
      </c>
      <c r="E19" s="26" t="s">
        <v>5</v>
      </c>
      <c r="F19" s="48" t="s">
        <v>101</v>
      </c>
      <c r="G19" s="26" t="s">
        <v>5</v>
      </c>
      <c r="H19" s="27">
        <f>H25+H39+H63+H73+H80+H98+H213</f>
        <v>468406.6</v>
      </c>
      <c r="I19" s="27">
        <f>I25+I39+I63+I73+I80+I98+I213</f>
        <v>0</v>
      </c>
      <c r="J19" s="27">
        <f>J25+J39+J63+J73+J80+J98+J213</f>
        <v>1509279.8</v>
      </c>
      <c r="K19" s="49">
        <f>K25+K39+K63+K73+K80+K98+K213</f>
        <v>0</v>
      </c>
      <c r="L19" s="27">
        <f>H19+I19+J19+K19</f>
        <v>1977686.4</v>
      </c>
      <c r="M19" s="27">
        <f>M25+M39+M63+M73+M80+M98+M213</f>
        <v>467051.6</v>
      </c>
      <c r="N19" s="27">
        <f>N25+N39+N63+N73+N80+N98+N213</f>
        <v>0</v>
      </c>
      <c r="O19" s="27">
        <f>O25+O39+O63+O73+O80+O98+O213</f>
        <v>1397379.3</v>
      </c>
      <c r="P19" s="49">
        <f>P25+P39+P63+P73+P80+P98+P213</f>
        <v>0</v>
      </c>
      <c r="Q19" s="27">
        <f t="shared" si="0"/>
        <v>1864430.9</v>
      </c>
      <c r="R19" s="36">
        <f aca="true" t="shared" si="1" ref="R19:R85">Q19/L19*100%</f>
        <v>0.9427</v>
      </c>
      <c r="S19" s="46">
        <f aca="true" t="shared" si="2" ref="S19:S85">H19-M19</f>
        <v>1355</v>
      </c>
      <c r="T19" s="26"/>
      <c r="U19" s="27">
        <f aca="true" t="shared" si="3" ref="U19:U85">J19-O19</f>
        <v>111900.5</v>
      </c>
      <c r="V19" s="27">
        <f aca="true" t="shared" si="4" ref="V19:V85">P19-K19</f>
        <v>0</v>
      </c>
      <c r="W19" s="27">
        <f aca="true" t="shared" si="5" ref="W19:W85">L19-Q19</f>
        <v>113255.5</v>
      </c>
    </row>
    <row r="20" spans="1:23" s="23" customFormat="1" ht="110.25">
      <c r="A20" s="42" t="s">
        <v>18</v>
      </c>
      <c r="B20" s="71"/>
      <c r="C20" s="26" t="s">
        <v>23</v>
      </c>
      <c r="D20" s="26">
        <v>706</v>
      </c>
      <c r="E20" s="26" t="s">
        <v>5</v>
      </c>
      <c r="F20" s="48" t="s">
        <v>101</v>
      </c>
      <c r="G20" s="26" t="s">
        <v>5</v>
      </c>
      <c r="H20" s="27">
        <f aca="true" t="shared" si="6" ref="H20:K21">H99</f>
        <v>85787.9</v>
      </c>
      <c r="I20" s="27">
        <f t="shared" si="6"/>
        <v>0</v>
      </c>
      <c r="J20" s="27">
        <f t="shared" si="6"/>
        <v>16856.1</v>
      </c>
      <c r="K20" s="27">
        <f t="shared" si="6"/>
        <v>0</v>
      </c>
      <c r="L20" s="27">
        <f aca="true" t="shared" si="7" ref="L20:L86">H20+I20+J20+K20</f>
        <v>102644</v>
      </c>
      <c r="M20" s="27">
        <f aca="true" t="shared" si="8" ref="M20:P21">M99</f>
        <v>82247.3</v>
      </c>
      <c r="N20" s="27">
        <f t="shared" si="8"/>
        <v>0</v>
      </c>
      <c r="O20" s="27">
        <f t="shared" si="8"/>
        <v>14834.5</v>
      </c>
      <c r="P20" s="27">
        <f t="shared" si="8"/>
        <v>0</v>
      </c>
      <c r="Q20" s="27">
        <f t="shared" si="0"/>
        <v>97081.8</v>
      </c>
      <c r="R20" s="36">
        <f t="shared" si="1"/>
        <v>0.9458</v>
      </c>
      <c r="S20" s="46">
        <f t="shared" si="2"/>
        <v>3540.6</v>
      </c>
      <c r="T20" s="26"/>
      <c r="U20" s="27">
        <f t="shared" si="3"/>
        <v>2021.6</v>
      </c>
      <c r="V20" s="27">
        <f t="shared" si="4"/>
        <v>0</v>
      </c>
      <c r="W20" s="27">
        <f t="shared" si="5"/>
        <v>5562.2</v>
      </c>
    </row>
    <row r="21" spans="1:23" s="23" customFormat="1" ht="63">
      <c r="A21" s="42" t="s">
        <v>19</v>
      </c>
      <c r="B21" s="71"/>
      <c r="C21" s="26" t="s">
        <v>24</v>
      </c>
      <c r="D21" s="26">
        <v>163</v>
      </c>
      <c r="E21" s="26" t="s">
        <v>5</v>
      </c>
      <c r="F21" s="48" t="s">
        <v>101</v>
      </c>
      <c r="G21" s="26" t="s">
        <v>5</v>
      </c>
      <c r="H21" s="27">
        <f t="shared" si="6"/>
        <v>25887.2</v>
      </c>
      <c r="I21" s="27">
        <f t="shared" si="6"/>
        <v>0</v>
      </c>
      <c r="J21" s="27">
        <f t="shared" si="6"/>
        <v>129978</v>
      </c>
      <c r="K21" s="49">
        <f t="shared" si="6"/>
        <v>162673.1</v>
      </c>
      <c r="L21" s="27">
        <f t="shared" si="7"/>
        <v>318538.3</v>
      </c>
      <c r="M21" s="27">
        <f t="shared" si="8"/>
        <v>12930.8</v>
      </c>
      <c r="N21" s="27">
        <f t="shared" si="8"/>
        <v>0</v>
      </c>
      <c r="O21" s="27">
        <f t="shared" si="8"/>
        <v>48585.4</v>
      </c>
      <c r="P21" s="49">
        <f t="shared" si="8"/>
        <v>0</v>
      </c>
      <c r="Q21" s="27">
        <f t="shared" si="0"/>
        <v>61516.2</v>
      </c>
      <c r="R21" s="36">
        <f t="shared" si="1"/>
        <v>0.1931</v>
      </c>
      <c r="S21" s="46">
        <f t="shared" si="2"/>
        <v>12956.4</v>
      </c>
      <c r="T21" s="26"/>
      <c r="U21" s="27">
        <f t="shared" si="3"/>
        <v>81392.6</v>
      </c>
      <c r="V21" s="27">
        <f t="shared" si="4"/>
        <v>-162673.1</v>
      </c>
      <c r="W21" s="27">
        <f t="shared" si="5"/>
        <v>257022.1</v>
      </c>
    </row>
    <row r="22" spans="1:23" s="23" customFormat="1" ht="99.75" customHeight="1" hidden="1">
      <c r="A22" s="42" t="s">
        <v>36</v>
      </c>
      <c r="B22" s="71"/>
      <c r="C22" s="26" t="s">
        <v>25</v>
      </c>
      <c r="D22" s="26">
        <v>750</v>
      </c>
      <c r="E22" s="26" t="s">
        <v>5</v>
      </c>
      <c r="F22" s="48" t="s">
        <v>101</v>
      </c>
      <c r="G22" s="26" t="s">
        <v>5</v>
      </c>
      <c r="H22" s="27">
        <f>H81</f>
        <v>0</v>
      </c>
      <c r="I22" s="27">
        <v>0</v>
      </c>
      <c r="J22" s="27"/>
      <c r="K22" s="27"/>
      <c r="L22" s="27">
        <f t="shared" si="7"/>
        <v>0</v>
      </c>
      <c r="M22" s="27">
        <f>M81</f>
        <v>0</v>
      </c>
      <c r="N22" s="27">
        <v>0</v>
      </c>
      <c r="O22" s="27"/>
      <c r="P22" s="27"/>
      <c r="Q22" s="27">
        <f t="shared" si="0"/>
        <v>0</v>
      </c>
      <c r="R22" s="36" t="e">
        <f t="shared" si="1"/>
        <v>#DIV/0!</v>
      </c>
      <c r="S22" s="46">
        <f t="shared" si="2"/>
        <v>0</v>
      </c>
      <c r="T22" s="26"/>
      <c r="U22" s="27">
        <f t="shared" si="3"/>
        <v>0</v>
      </c>
      <c r="V22" s="27">
        <f t="shared" si="4"/>
        <v>0</v>
      </c>
      <c r="W22" s="27">
        <f t="shared" si="5"/>
        <v>0</v>
      </c>
    </row>
    <row r="23" spans="1:23" s="23" customFormat="1" ht="31.5">
      <c r="A23" s="42" t="s">
        <v>36</v>
      </c>
      <c r="B23" s="71"/>
      <c r="C23" s="26" t="s">
        <v>372</v>
      </c>
      <c r="D23" s="26">
        <v>757</v>
      </c>
      <c r="E23" s="26" t="s">
        <v>5</v>
      </c>
      <c r="F23" s="48" t="s">
        <v>101</v>
      </c>
      <c r="G23" s="26" t="s">
        <v>5</v>
      </c>
      <c r="H23" s="27">
        <f>H74</f>
        <v>375.1</v>
      </c>
      <c r="I23" s="27">
        <f>I74</f>
        <v>0</v>
      </c>
      <c r="J23" s="27">
        <f>J74</f>
        <v>0</v>
      </c>
      <c r="K23" s="27">
        <f>K74</f>
        <v>0</v>
      </c>
      <c r="L23" s="27">
        <f t="shared" si="7"/>
        <v>375.1</v>
      </c>
      <c r="M23" s="27">
        <f>M74</f>
        <v>375.1</v>
      </c>
      <c r="N23" s="27">
        <f>N74</f>
        <v>0</v>
      </c>
      <c r="O23" s="27">
        <f>O74</f>
        <v>0</v>
      </c>
      <c r="P23" s="27">
        <f>P74</f>
        <v>0</v>
      </c>
      <c r="Q23" s="27">
        <f t="shared" si="0"/>
        <v>375.1</v>
      </c>
      <c r="R23" s="36">
        <f t="shared" si="1"/>
        <v>1</v>
      </c>
      <c r="S23" s="46">
        <f t="shared" si="2"/>
        <v>0</v>
      </c>
      <c r="T23" s="26"/>
      <c r="U23" s="27">
        <f t="shared" si="3"/>
        <v>0</v>
      </c>
      <c r="V23" s="27">
        <f t="shared" si="4"/>
        <v>0</v>
      </c>
      <c r="W23" s="27">
        <f t="shared" si="5"/>
        <v>0</v>
      </c>
    </row>
    <row r="24" spans="1:23" s="23" customFormat="1" ht="31.5" customHeight="1">
      <c r="A24" s="42"/>
      <c r="B24" s="71" t="s">
        <v>251</v>
      </c>
      <c r="C24" s="26" t="s">
        <v>5</v>
      </c>
      <c r="D24" s="26"/>
      <c r="E24" s="26"/>
      <c r="F24" s="48"/>
      <c r="G24" s="26"/>
      <c r="H24" s="27">
        <f>H25</f>
        <v>118941</v>
      </c>
      <c r="I24" s="27">
        <f aca="true" t="shared" si="9" ref="I24:P24">I25</f>
        <v>0</v>
      </c>
      <c r="J24" s="27">
        <f t="shared" si="9"/>
        <v>460671.9</v>
      </c>
      <c r="K24" s="27">
        <f t="shared" si="9"/>
        <v>0</v>
      </c>
      <c r="L24" s="27">
        <f t="shared" si="7"/>
        <v>579612.9</v>
      </c>
      <c r="M24" s="27">
        <f>M25</f>
        <v>118713.3</v>
      </c>
      <c r="N24" s="27">
        <f t="shared" si="9"/>
        <v>0</v>
      </c>
      <c r="O24" s="27">
        <f t="shared" si="9"/>
        <v>416035.3</v>
      </c>
      <c r="P24" s="27">
        <f t="shared" si="9"/>
        <v>0</v>
      </c>
      <c r="Q24" s="27">
        <f t="shared" si="0"/>
        <v>534748.6</v>
      </c>
      <c r="R24" s="36">
        <f t="shared" si="1"/>
        <v>0.9226</v>
      </c>
      <c r="S24" s="46">
        <f t="shared" si="2"/>
        <v>227.7</v>
      </c>
      <c r="T24" s="26"/>
      <c r="U24" s="27">
        <f t="shared" si="3"/>
        <v>44636.6</v>
      </c>
      <c r="V24" s="27">
        <f t="shared" si="4"/>
        <v>0</v>
      </c>
      <c r="W24" s="27">
        <f t="shared" si="5"/>
        <v>44864.3</v>
      </c>
    </row>
    <row r="25" spans="1:23" s="23" customFormat="1" ht="15.75">
      <c r="A25" s="42" t="s">
        <v>14</v>
      </c>
      <c r="B25" s="71"/>
      <c r="C25" s="26" t="s">
        <v>9</v>
      </c>
      <c r="D25" s="26" t="s">
        <v>5</v>
      </c>
      <c r="E25" s="26" t="s">
        <v>5</v>
      </c>
      <c r="F25" s="48" t="s">
        <v>100</v>
      </c>
      <c r="G25" s="26" t="s">
        <v>5</v>
      </c>
      <c r="H25" s="27">
        <f>H26+H34+H36</f>
        <v>118941</v>
      </c>
      <c r="I25" s="27">
        <f>I26+I34+I36</f>
        <v>0</v>
      </c>
      <c r="J25" s="27">
        <f>J26+J34+J36</f>
        <v>460671.9</v>
      </c>
      <c r="K25" s="27">
        <f>K26+K34+K36</f>
        <v>0</v>
      </c>
      <c r="L25" s="27">
        <f>H25+I25+J25+K25</f>
        <v>579612.9</v>
      </c>
      <c r="M25" s="27">
        <f>M26+M34+M36</f>
        <v>118713.3</v>
      </c>
      <c r="N25" s="27">
        <f>N26+N34+N36</f>
        <v>0</v>
      </c>
      <c r="O25" s="27">
        <f>O26+O34+O36</f>
        <v>416035.3</v>
      </c>
      <c r="P25" s="27">
        <f>P26+P34+P36</f>
        <v>0</v>
      </c>
      <c r="Q25" s="27">
        <f t="shared" si="0"/>
        <v>534748.6</v>
      </c>
      <c r="R25" s="36">
        <f t="shared" si="1"/>
        <v>0.9226</v>
      </c>
      <c r="S25" s="46">
        <f t="shared" si="2"/>
        <v>227.7</v>
      </c>
      <c r="T25" s="26"/>
      <c r="U25" s="27">
        <f t="shared" si="3"/>
        <v>44636.6</v>
      </c>
      <c r="V25" s="27">
        <f t="shared" si="4"/>
        <v>0</v>
      </c>
      <c r="W25" s="27">
        <f t="shared" si="5"/>
        <v>44864.3</v>
      </c>
    </row>
    <row r="26" spans="1:23" s="23" customFormat="1" ht="31.5">
      <c r="A26" s="42" t="s">
        <v>16</v>
      </c>
      <c r="B26" s="50" t="s">
        <v>77</v>
      </c>
      <c r="C26" s="38" t="s">
        <v>9</v>
      </c>
      <c r="D26" s="26">
        <v>774</v>
      </c>
      <c r="E26" s="26" t="s">
        <v>5</v>
      </c>
      <c r="F26" s="48" t="s">
        <v>100</v>
      </c>
      <c r="G26" s="26" t="s">
        <v>5</v>
      </c>
      <c r="H26" s="32">
        <f>H27+H28+H29+H30+H31</f>
        <v>100189.4</v>
      </c>
      <c r="I26" s="32">
        <f>I27+I28+I29+I30</f>
        <v>0</v>
      </c>
      <c r="J26" s="32">
        <f>J27+J28+J29+J30+J32+J33</f>
        <v>437446.9</v>
      </c>
      <c r="K26" s="32">
        <f>K27+K28+K29+K30</f>
        <v>0</v>
      </c>
      <c r="L26" s="27">
        <f t="shared" si="7"/>
        <v>537636.3</v>
      </c>
      <c r="M26" s="32">
        <f>M27+M28+M29+M30+M31+M32+M33</f>
        <v>99961.7</v>
      </c>
      <c r="N26" s="32">
        <f>N27+N28+N29+N30+N31+N32+N33</f>
        <v>0</v>
      </c>
      <c r="O26" s="32">
        <f>O27+O28+O29+O30+O31+O32+O33</f>
        <v>395585</v>
      </c>
      <c r="P26" s="32">
        <f>P27+P28+P29+P30+P31+P32+P33</f>
        <v>0</v>
      </c>
      <c r="Q26" s="27">
        <f aca="true" t="shared" si="10" ref="Q26:Q86">M26+N26+O26+P26</f>
        <v>495546.7</v>
      </c>
      <c r="R26" s="36">
        <f t="shared" si="1"/>
        <v>0.9217</v>
      </c>
      <c r="S26" s="46">
        <f t="shared" si="2"/>
        <v>227.7</v>
      </c>
      <c r="T26" s="26"/>
      <c r="U26" s="27">
        <f t="shared" si="3"/>
        <v>41861.9</v>
      </c>
      <c r="V26" s="27">
        <f t="shared" si="4"/>
        <v>0</v>
      </c>
      <c r="W26" s="27">
        <f t="shared" si="5"/>
        <v>42089.6</v>
      </c>
    </row>
    <row r="27" spans="1:23" s="23" customFormat="1" ht="31.5">
      <c r="A27" s="43" t="s">
        <v>37</v>
      </c>
      <c r="B27" s="35" t="s">
        <v>104</v>
      </c>
      <c r="C27" s="38" t="s">
        <v>9</v>
      </c>
      <c r="D27" s="38">
        <v>774</v>
      </c>
      <c r="E27" s="37" t="s">
        <v>6</v>
      </c>
      <c r="F27" s="37" t="s">
        <v>103</v>
      </c>
      <c r="G27" s="38">
        <v>600</v>
      </c>
      <c r="H27" s="32">
        <v>94441.3</v>
      </c>
      <c r="I27" s="32">
        <v>0</v>
      </c>
      <c r="J27" s="32">
        <v>0</v>
      </c>
      <c r="K27" s="32">
        <v>0</v>
      </c>
      <c r="L27" s="27">
        <f t="shared" si="7"/>
        <v>94441.3</v>
      </c>
      <c r="M27" s="32">
        <v>94378.9</v>
      </c>
      <c r="N27" s="32">
        <v>0</v>
      </c>
      <c r="O27" s="32">
        <f>J27</f>
        <v>0</v>
      </c>
      <c r="P27" s="32">
        <v>0</v>
      </c>
      <c r="Q27" s="27">
        <f t="shared" si="10"/>
        <v>94378.9</v>
      </c>
      <c r="R27" s="36">
        <f t="shared" si="1"/>
        <v>0.9993</v>
      </c>
      <c r="S27" s="46">
        <f t="shared" si="2"/>
        <v>62.4</v>
      </c>
      <c r="T27" s="26"/>
      <c r="U27" s="27">
        <f t="shared" si="3"/>
        <v>0</v>
      </c>
      <c r="V27" s="27">
        <f t="shared" si="4"/>
        <v>0</v>
      </c>
      <c r="W27" s="27">
        <f t="shared" si="5"/>
        <v>62.4</v>
      </c>
    </row>
    <row r="28" spans="1:23" s="3" customFormat="1" ht="15.75">
      <c r="A28" s="43" t="s">
        <v>79</v>
      </c>
      <c r="B28" s="35" t="s">
        <v>138</v>
      </c>
      <c r="C28" s="38" t="s">
        <v>9</v>
      </c>
      <c r="D28" s="38">
        <v>774</v>
      </c>
      <c r="E28" s="37" t="s">
        <v>6</v>
      </c>
      <c r="F28" s="37" t="s">
        <v>102</v>
      </c>
      <c r="G28" s="38">
        <v>600</v>
      </c>
      <c r="H28" s="32">
        <v>3429.6</v>
      </c>
      <c r="I28" s="32">
        <v>0</v>
      </c>
      <c r="J28" s="32">
        <v>0</v>
      </c>
      <c r="K28" s="32">
        <v>0</v>
      </c>
      <c r="L28" s="27">
        <f t="shared" si="7"/>
        <v>3429.6</v>
      </c>
      <c r="M28" s="32">
        <v>3429.6</v>
      </c>
      <c r="N28" s="32">
        <v>0</v>
      </c>
      <c r="O28" s="32">
        <f>J28</f>
        <v>0</v>
      </c>
      <c r="P28" s="32">
        <v>0</v>
      </c>
      <c r="Q28" s="27">
        <f t="shared" si="10"/>
        <v>3429.6</v>
      </c>
      <c r="R28" s="36">
        <f t="shared" si="1"/>
        <v>1</v>
      </c>
      <c r="S28" s="46">
        <f t="shared" si="2"/>
        <v>0</v>
      </c>
      <c r="T28" s="26"/>
      <c r="U28" s="27">
        <f t="shared" si="3"/>
        <v>0</v>
      </c>
      <c r="V28" s="27">
        <f t="shared" si="4"/>
        <v>0</v>
      </c>
      <c r="W28" s="27">
        <f t="shared" si="5"/>
        <v>0</v>
      </c>
    </row>
    <row r="29" spans="1:23" s="3" customFormat="1" ht="63">
      <c r="A29" s="43" t="s">
        <v>143</v>
      </c>
      <c r="B29" s="35" t="s">
        <v>160</v>
      </c>
      <c r="C29" s="38" t="s">
        <v>9</v>
      </c>
      <c r="D29" s="38">
        <v>774</v>
      </c>
      <c r="E29" s="37" t="s">
        <v>6</v>
      </c>
      <c r="F29" s="37" t="s">
        <v>139</v>
      </c>
      <c r="G29" s="38">
        <v>600</v>
      </c>
      <c r="H29" s="32">
        <v>199.6</v>
      </c>
      <c r="I29" s="32">
        <v>0</v>
      </c>
      <c r="J29" s="32">
        <v>0</v>
      </c>
      <c r="K29" s="32">
        <v>0</v>
      </c>
      <c r="L29" s="27">
        <f t="shared" si="7"/>
        <v>199.6</v>
      </c>
      <c r="M29" s="32">
        <v>135.2</v>
      </c>
      <c r="N29" s="32">
        <v>0</v>
      </c>
      <c r="O29" s="32">
        <f>J29</f>
        <v>0</v>
      </c>
      <c r="P29" s="32">
        <v>0</v>
      </c>
      <c r="Q29" s="27">
        <f t="shared" si="10"/>
        <v>135.2</v>
      </c>
      <c r="R29" s="36">
        <f t="shared" si="1"/>
        <v>0.6774</v>
      </c>
      <c r="S29" s="46">
        <f t="shared" si="2"/>
        <v>64.4</v>
      </c>
      <c r="T29" s="26"/>
      <c r="U29" s="27">
        <f t="shared" si="3"/>
        <v>0</v>
      </c>
      <c r="V29" s="27">
        <f t="shared" si="4"/>
        <v>0</v>
      </c>
      <c r="W29" s="27">
        <f t="shared" si="5"/>
        <v>64.4</v>
      </c>
    </row>
    <row r="30" spans="1:23" s="3" customFormat="1" ht="31.5">
      <c r="A30" s="43" t="s">
        <v>159</v>
      </c>
      <c r="B30" s="51" t="s">
        <v>220</v>
      </c>
      <c r="C30" s="38" t="s">
        <v>9</v>
      </c>
      <c r="D30" s="38">
        <v>774</v>
      </c>
      <c r="E30" s="37" t="s">
        <v>6</v>
      </c>
      <c r="F30" s="37" t="s">
        <v>158</v>
      </c>
      <c r="G30" s="38">
        <v>600</v>
      </c>
      <c r="H30" s="32">
        <v>1720.4</v>
      </c>
      <c r="I30" s="32">
        <v>0</v>
      </c>
      <c r="J30" s="32">
        <v>0</v>
      </c>
      <c r="K30" s="32">
        <v>0</v>
      </c>
      <c r="L30" s="27">
        <f t="shared" si="7"/>
        <v>1720.4</v>
      </c>
      <c r="M30" s="32">
        <v>1619.5</v>
      </c>
      <c r="N30" s="32">
        <v>0</v>
      </c>
      <c r="O30" s="32">
        <f>J30</f>
        <v>0</v>
      </c>
      <c r="P30" s="32">
        <v>0</v>
      </c>
      <c r="Q30" s="27">
        <f t="shared" si="10"/>
        <v>1619.5</v>
      </c>
      <c r="R30" s="36">
        <f t="shared" si="1"/>
        <v>0.9414</v>
      </c>
      <c r="S30" s="46">
        <f t="shared" si="2"/>
        <v>100.9</v>
      </c>
      <c r="T30" s="26"/>
      <c r="U30" s="27">
        <f t="shared" si="3"/>
        <v>0</v>
      </c>
      <c r="V30" s="27">
        <f t="shared" si="4"/>
        <v>0</v>
      </c>
      <c r="W30" s="27">
        <f t="shared" si="5"/>
        <v>100.9</v>
      </c>
    </row>
    <row r="31" spans="1:23" s="3" customFormat="1" ht="31.5">
      <c r="A31" s="43"/>
      <c r="B31" s="52" t="s">
        <v>279</v>
      </c>
      <c r="C31" s="38" t="s">
        <v>9</v>
      </c>
      <c r="D31" s="38"/>
      <c r="E31" s="37"/>
      <c r="F31" s="37"/>
      <c r="G31" s="38"/>
      <c r="H31" s="32">
        <v>398.5</v>
      </c>
      <c r="I31" s="32">
        <v>0</v>
      </c>
      <c r="J31" s="32">
        <v>0</v>
      </c>
      <c r="K31" s="32">
        <v>0</v>
      </c>
      <c r="L31" s="27">
        <f t="shared" si="7"/>
        <v>398.5</v>
      </c>
      <c r="M31" s="32">
        <v>398.5</v>
      </c>
      <c r="N31" s="32"/>
      <c r="O31" s="32"/>
      <c r="P31" s="32"/>
      <c r="Q31" s="27">
        <f>M31+N31+O31+P31</f>
        <v>398.5</v>
      </c>
      <c r="R31" s="36">
        <f>Q31/L31*100%</f>
        <v>1</v>
      </c>
      <c r="S31" s="46">
        <f t="shared" si="2"/>
        <v>0</v>
      </c>
      <c r="T31" s="26"/>
      <c r="U31" s="27"/>
      <c r="V31" s="27"/>
      <c r="W31" s="27"/>
    </row>
    <row r="32" spans="1:23" s="3" customFormat="1" ht="31.5">
      <c r="A32" s="43"/>
      <c r="B32" s="51" t="s">
        <v>185</v>
      </c>
      <c r="C32" s="38" t="s">
        <v>9</v>
      </c>
      <c r="D32" s="38"/>
      <c r="E32" s="37"/>
      <c r="F32" s="37"/>
      <c r="G32" s="38"/>
      <c r="H32" s="32">
        <v>0</v>
      </c>
      <c r="I32" s="32">
        <v>0</v>
      </c>
      <c r="J32" s="32">
        <v>270.2</v>
      </c>
      <c r="K32" s="32">
        <v>0</v>
      </c>
      <c r="L32" s="27">
        <f t="shared" si="7"/>
        <v>270.2</v>
      </c>
      <c r="M32" s="32">
        <f aca="true" t="shared" si="11" ref="M32:M37">H32</f>
        <v>0</v>
      </c>
      <c r="N32" s="32">
        <v>0</v>
      </c>
      <c r="O32" s="32">
        <v>270.2</v>
      </c>
      <c r="P32" s="32">
        <v>0</v>
      </c>
      <c r="Q32" s="27">
        <f t="shared" si="10"/>
        <v>270.2</v>
      </c>
      <c r="R32" s="36">
        <f t="shared" si="1"/>
        <v>1</v>
      </c>
      <c r="S32" s="46">
        <f t="shared" si="2"/>
        <v>0</v>
      </c>
      <c r="T32" s="26"/>
      <c r="U32" s="27">
        <f t="shared" si="3"/>
        <v>0</v>
      </c>
      <c r="V32" s="27">
        <f t="shared" si="4"/>
        <v>0</v>
      </c>
      <c r="W32" s="27">
        <f t="shared" si="5"/>
        <v>0</v>
      </c>
    </row>
    <row r="33" spans="1:23" s="3" customFormat="1" ht="31.5">
      <c r="A33" s="43"/>
      <c r="B33" s="35" t="s">
        <v>186</v>
      </c>
      <c r="C33" s="38" t="s">
        <v>9</v>
      </c>
      <c r="D33" s="38"/>
      <c r="E33" s="37"/>
      <c r="F33" s="37"/>
      <c r="G33" s="38"/>
      <c r="H33" s="32">
        <v>0</v>
      </c>
      <c r="I33" s="32">
        <v>0</v>
      </c>
      <c r="J33" s="32">
        <v>437176.7</v>
      </c>
      <c r="K33" s="32">
        <v>0</v>
      </c>
      <c r="L33" s="27">
        <f t="shared" si="7"/>
        <v>437176.7</v>
      </c>
      <c r="M33" s="32">
        <f t="shared" si="11"/>
        <v>0</v>
      </c>
      <c r="N33" s="32">
        <v>0</v>
      </c>
      <c r="O33" s="32">
        <f>395585-270.2</f>
        <v>395314.8</v>
      </c>
      <c r="P33" s="32">
        <v>0</v>
      </c>
      <c r="Q33" s="27">
        <f t="shared" si="10"/>
        <v>395314.8</v>
      </c>
      <c r="R33" s="36">
        <f t="shared" si="1"/>
        <v>0.9042</v>
      </c>
      <c r="S33" s="46">
        <f t="shared" si="2"/>
        <v>0</v>
      </c>
      <c r="T33" s="26"/>
      <c r="U33" s="27">
        <f t="shared" si="3"/>
        <v>41861.9</v>
      </c>
      <c r="V33" s="27">
        <f t="shared" si="4"/>
        <v>0</v>
      </c>
      <c r="W33" s="27">
        <f t="shared" si="5"/>
        <v>41861.9</v>
      </c>
    </row>
    <row r="34" spans="1:23" s="3" customFormat="1" ht="47.25">
      <c r="A34" s="43" t="s">
        <v>221</v>
      </c>
      <c r="B34" s="53" t="s">
        <v>141</v>
      </c>
      <c r="C34" s="38" t="s">
        <v>9</v>
      </c>
      <c r="D34" s="38">
        <v>774</v>
      </c>
      <c r="E34" s="37" t="s">
        <v>6</v>
      </c>
      <c r="F34" s="37" t="s">
        <v>219</v>
      </c>
      <c r="G34" s="38">
        <v>600</v>
      </c>
      <c r="H34" s="32">
        <f>H35</f>
        <v>18751.6</v>
      </c>
      <c r="I34" s="32">
        <v>0</v>
      </c>
      <c r="J34" s="32">
        <f>J35</f>
        <v>0</v>
      </c>
      <c r="K34" s="32">
        <v>0</v>
      </c>
      <c r="L34" s="27">
        <f t="shared" si="7"/>
        <v>18751.6</v>
      </c>
      <c r="M34" s="32">
        <f>M35</f>
        <v>18751.6</v>
      </c>
      <c r="N34" s="32">
        <v>0</v>
      </c>
      <c r="O34" s="32">
        <f>J34</f>
        <v>0</v>
      </c>
      <c r="P34" s="32">
        <v>0</v>
      </c>
      <c r="Q34" s="27">
        <f t="shared" si="10"/>
        <v>18751.6</v>
      </c>
      <c r="R34" s="36">
        <f t="shared" si="1"/>
        <v>1</v>
      </c>
      <c r="S34" s="46">
        <f t="shared" si="2"/>
        <v>0</v>
      </c>
      <c r="T34" s="26"/>
      <c r="U34" s="27">
        <f t="shared" si="3"/>
        <v>0</v>
      </c>
      <c r="V34" s="27">
        <f t="shared" si="4"/>
        <v>0</v>
      </c>
      <c r="W34" s="27">
        <f t="shared" si="5"/>
        <v>0</v>
      </c>
    </row>
    <row r="35" spans="1:23" s="3" customFormat="1" ht="31.5">
      <c r="A35" s="43"/>
      <c r="B35" s="35" t="s">
        <v>78</v>
      </c>
      <c r="C35" s="38" t="s">
        <v>9</v>
      </c>
      <c r="D35" s="38"/>
      <c r="E35" s="37"/>
      <c r="F35" s="37"/>
      <c r="G35" s="38"/>
      <c r="H35" s="32">
        <v>18751.6</v>
      </c>
      <c r="I35" s="32">
        <v>0</v>
      </c>
      <c r="J35" s="32">
        <v>0</v>
      </c>
      <c r="K35" s="32">
        <v>0</v>
      </c>
      <c r="L35" s="27">
        <f t="shared" si="7"/>
        <v>18751.6</v>
      </c>
      <c r="M35" s="32">
        <v>18751.6</v>
      </c>
      <c r="N35" s="32">
        <v>0</v>
      </c>
      <c r="O35" s="32">
        <f>J35</f>
        <v>0</v>
      </c>
      <c r="P35" s="32">
        <v>0</v>
      </c>
      <c r="Q35" s="27">
        <f t="shared" si="10"/>
        <v>18751.6</v>
      </c>
      <c r="R35" s="36">
        <f t="shared" si="1"/>
        <v>1</v>
      </c>
      <c r="S35" s="46">
        <f t="shared" si="2"/>
        <v>0</v>
      </c>
      <c r="T35" s="26"/>
      <c r="U35" s="27">
        <f t="shared" si="3"/>
        <v>0</v>
      </c>
      <c r="V35" s="27">
        <f t="shared" si="4"/>
        <v>0</v>
      </c>
      <c r="W35" s="27">
        <f t="shared" si="5"/>
        <v>0</v>
      </c>
    </row>
    <row r="36" spans="1:23" s="3" customFormat="1" ht="31.5">
      <c r="A36" s="43"/>
      <c r="B36" s="35" t="s">
        <v>187</v>
      </c>
      <c r="C36" s="38" t="s">
        <v>9</v>
      </c>
      <c r="D36" s="38"/>
      <c r="E36" s="37"/>
      <c r="F36" s="37"/>
      <c r="G36" s="38"/>
      <c r="H36" s="32">
        <v>0</v>
      </c>
      <c r="I36" s="32">
        <v>0</v>
      </c>
      <c r="J36" s="32">
        <f>J37</f>
        <v>23225</v>
      </c>
      <c r="K36" s="32">
        <v>0</v>
      </c>
      <c r="L36" s="27">
        <f t="shared" si="7"/>
        <v>23225</v>
      </c>
      <c r="M36" s="32">
        <f t="shared" si="11"/>
        <v>0</v>
      </c>
      <c r="N36" s="32">
        <v>0</v>
      </c>
      <c r="O36" s="32">
        <f>O37</f>
        <v>20450.3</v>
      </c>
      <c r="P36" s="32">
        <v>0</v>
      </c>
      <c r="Q36" s="27">
        <f t="shared" si="10"/>
        <v>20450.3</v>
      </c>
      <c r="R36" s="36">
        <f t="shared" si="1"/>
        <v>0.8805</v>
      </c>
      <c r="S36" s="46">
        <f t="shared" si="2"/>
        <v>0</v>
      </c>
      <c r="T36" s="26"/>
      <c r="U36" s="27">
        <f t="shared" si="3"/>
        <v>2774.7</v>
      </c>
      <c r="V36" s="27">
        <f t="shared" si="4"/>
        <v>0</v>
      </c>
      <c r="W36" s="27">
        <f t="shared" si="5"/>
        <v>2774.7</v>
      </c>
    </row>
    <row r="37" spans="1:23" s="3" customFormat="1" ht="31.5">
      <c r="A37" s="43" t="s">
        <v>80</v>
      </c>
      <c r="B37" s="34" t="s">
        <v>188</v>
      </c>
      <c r="C37" s="38" t="s">
        <v>9</v>
      </c>
      <c r="D37" s="38">
        <v>774</v>
      </c>
      <c r="E37" s="37" t="s">
        <v>6</v>
      </c>
      <c r="F37" s="37" t="s">
        <v>105</v>
      </c>
      <c r="G37" s="38">
        <v>600</v>
      </c>
      <c r="H37" s="32">
        <v>0</v>
      </c>
      <c r="I37" s="32">
        <v>0</v>
      </c>
      <c r="J37" s="32">
        <f>22975.8+249.2</f>
        <v>23225</v>
      </c>
      <c r="K37" s="27">
        <v>0</v>
      </c>
      <c r="L37" s="27">
        <f t="shared" si="7"/>
        <v>23225</v>
      </c>
      <c r="M37" s="32">
        <f t="shared" si="11"/>
        <v>0</v>
      </c>
      <c r="N37" s="32">
        <v>0</v>
      </c>
      <c r="O37" s="32">
        <v>20450.3</v>
      </c>
      <c r="P37" s="32">
        <v>0</v>
      </c>
      <c r="Q37" s="27">
        <f t="shared" si="10"/>
        <v>20450.3</v>
      </c>
      <c r="R37" s="36">
        <f t="shared" si="1"/>
        <v>0.8805</v>
      </c>
      <c r="S37" s="46">
        <f t="shared" si="2"/>
        <v>0</v>
      </c>
      <c r="T37" s="26"/>
      <c r="U37" s="27">
        <f t="shared" si="3"/>
        <v>2774.7</v>
      </c>
      <c r="V37" s="27">
        <f t="shared" si="4"/>
        <v>0</v>
      </c>
      <c r="W37" s="27">
        <f t="shared" si="5"/>
        <v>2774.7</v>
      </c>
    </row>
    <row r="38" spans="1:25" s="3" customFormat="1" ht="31.5" customHeight="1">
      <c r="A38" s="43" t="s">
        <v>81</v>
      </c>
      <c r="B38" s="71" t="s">
        <v>252</v>
      </c>
      <c r="C38" s="26" t="s">
        <v>5</v>
      </c>
      <c r="D38" s="38"/>
      <c r="E38" s="37"/>
      <c r="F38" s="37"/>
      <c r="G38" s="38"/>
      <c r="H38" s="27">
        <f>H39</f>
        <v>184769.1</v>
      </c>
      <c r="I38" s="27">
        <f>I39</f>
        <v>0</v>
      </c>
      <c r="J38" s="27">
        <f>J39</f>
        <v>946206.5</v>
      </c>
      <c r="K38" s="27">
        <f>K39</f>
        <v>0</v>
      </c>
      <c r="L38" s="27">
        <f t="shared" si="7"/>
        <v>1130975.6</v>
      </c>
      <c r="M38" s="27">
        <f>M39</f>
        <v>184003.8</v>
      </c>
      <c r="N38" s="27">
        <f>N39</f>
        <v>0</v>
      </c>
      <c r="O38" s="27">
        <f>O39</f>
        <v>880051.2</v>
      </c>
      <c r="P38" s="27">
        <f>P39</f>
        <v>0</v>
      </c>
      <c r="Q38" s="27">
        <f t="shared" si="10"/>
        <v>1064055</v>
      </c>
      <c r="R38" s="36">
        <f t="shared" si="1"/>
        <v>0.9408</v>
      </c>
      <c r="S38" s="46">
        <f t="shared" si="2"/>
        <v>765.3</v>
      </c>
      <c r="T38" s="26"/>
      <c r="U38" s="27">
        <f t="shared" si="3"/>
        <v>66155.3</v>
      </c>
      <c r="V38" s="27">
        <f t="shared" si="4"/>
        <v>0</v>
      </c>
      <c r="W38" s="27">
        <f t="shared" si="5"/>
        <v>66920.6</v>
      </c>
      <c r="Y38" s="2"/>
    </row>
    <row r="39" spans="1:25" s="3" customFormat="1" ht="15.75">
      <c r="A39" s="43" t="s">
        <v>81</v>
      </c>
      <c r="B39" s="71"/>
      <c r="C39" s="26" t="s">
        <v>9</v>
      </c>
      <c r="D39" s="38"/>
      <c r="E39" s="37"/>
      <c r="F39" s="37"/>
      <c r="G39" s="38"/>
      <c r="H39" s="27">
        <f>H40+H60</f>
        <v>184769.1</v>
      </c>
      <c r="I39" s="27">
        <f>I40+I60</f>
        <v>0</v>
      </c>
      <c r="J39" s="27">
        <f>J40+J60</f>
        <v>946206.5</v>
      </c>
      <c r="K39" s="27">
        <f>K40+K60</f>
        <v>0</v>
      </c>
      <c r="L39" s="27">
        <f t="shared" si="7"/>
        <v>1130975.6</v>
      </c>
      <c r="M39" s="27">
        <f>M40+M60</f>
        <v>184003.8</v>
      </c>
      <c r="N39" s="27">
        <f>N40+N60</f>
        <v>0</v>
      </c>
      <c r="O39" s="27">
        <f>O40+O60</f>
        <v>880051.2</v>
      </c>
      <c r="P39" s="27">
        <f>P40+P60</f>
        <v>0</v>
      </c>
      <c r="Q39" s="27">
        <f t="shared" si="10"/>
        <v>1064055</v>
      </c>
      <c r="R39" s="36">
        <f t="shared" si="1"/>
        <v>0.9408</v>
      </c>
      <c r="S39" s="46">
        <f t="shared" si="2"/>
        <v>765.3</v>
      </c>
      <c r="T39" s="26"/>
      <c r="U39" s="27">
        <f t="shared" si="3"/>
        <v>66155.3</v>
      </c>
      <c r="V39" s="27">
        <f t="shared" si="4"/>
        <v>0</v>
      </c>
      <c r="W39" s="27">
        <f t="shared" si="5"/>
        <v>66920.6</v>
      </c>
      <c r="Y39" s="2"/>
    </row>
    <row r="40" spans="1:25" s="3" customFormat="1" ht="31.5">
      <c r="A40" s="43"/>
      <c r="B40" s="35" t="s">
        <v>82</v>
      </c>
      <c r="C40" s="38" t="s">
        <v>9</v>
      </c>
      <c r="D40" s="38"/>
      <c r="E40" s="37"/>
      <c r="F40" s="37"/>
      <c r="G40" s="38"/>
      <c r="H40" s="32">
        <f>SUM(H41:H59)</f>
        <v>179693.9</v>
      </c>
      <c r="I40" s="32">
        <f aca="true" t="shared" si="12" ref="I40:P40">SUM(I41:I59)</f>
        <v>0</v>
      </c>
      <c r="J40" s="32">
        <f>SUM(J41:J59)</f>
        <v>946206.5</v>
      </c>
      <c r="K40" s="32">
        <f t="shared" si="12"/>
        <v>0</v>
      </c>
      <c r="L40" s="27">
        <f t="shared" si="7"/>
        <v>1125900.4</v>
      </c>
      <c r="M40" s="32">
        <f>SUM(M41:M59)</f>
        <v>178968.6</v>
      </c>
      <c r="N40" s="32">
        <f t="shared" si="12"/>
        <v>0</v>
      </c>
      <c r="O40" s="32">
        <f>SUM(O41:O59)</f>
        <v>880051.2</v>
      </c>
      <c r="P40" s="32">
        <f t="shared" si="12"/>
        <v>0</v>
      </c>
      <c r="Q40" s="27">
        <f t="shared" si="10"/>
        <v>1059019.8</v>
      </c>
      <c r="R40" s="36">
        <f t="shared" si="1"/>
        <v>0.9406</v>
      </c>
      <c r="S40" s="46">
        <f t="shared" si="2"/>
        <v>725.3</v>
      </c>
      <c r="T40" s="26"/>
      <c r="U40" s="27">
        <f t="shared" si="3"/>
        <v>66155.3</v>
      </c>
      <c r="V40" s="27">
        <f t="shared" si="4"/>
        <v>0</v>
      </c>
      <c r="W40" s="27">
        <f t="shared" si="5"/>
        <v>66880.6</v>
      </c>
      <c r="Y40" s="2"/>
    </row>
    <row r="41" spans="1:25" s="3" customFormat="1" ht="15.75">
      <c r="A41" s="43"/>
      <c r="B41" s="35" t="s">
        <v>56</v>
      </c>
      <c r="C41" s="38" t="s">
        <v>9</v>
      </c>
      <c r="D41" s="38"/>
      <c r="E41" s="37"/>
      <c r="F41" s="37"/>
      <c r="G41" s="38"/>
      <c r="H41" s="32">
        <v>15438.9</v>
      </c>
      <c r="I41" s="32">
        <v>0</v>
      </c>
      <c r="J41" s="32">
        <v>0</v>
      </c>
      <c r="K41" s="32">
        <v>0</v>
      </c>
      <c r="L41" s="27">
        <f t="shared" si="7"/>
        <v>15438.9</v>
      </c>
      <c r="M41" s="32">
        <v>15438.9</v>
      </c>
      <c r="N41" s="32">
        <v>0</v>
      </c>
      <c r="O41" s="32">
        <f aca="true" t="shared" si="13" ref="O41:O48">J41</f>
        <v>0</v>
      </c>
      <c r="P41" s="32">
        <v>0</v>
      </c>
      <c r="Q41" s="27">
        <f t="shared" si="10"/>
        <v>15438.9</v>
      </c>
      <c r="R41" s="36">
        <f t="shared" si="1"/>
        <v>1</v>
      </c>
      <c r="S41" s="46">
        <f t="shared" si="2"/>
        <v>0</v>
      </c>
      <c r="T41" s="26"/>
      <c r="U41" s="27">
        <f t="shared" si="3"/>
        <v>0</v>
      </c>
      <c r="V41" s="27">
        <f t="shared" si="4"/>
        <v>0</v>
      </c>
      <c r="W41" s="27">
        <f t="shared" si="5"/>
        <v>0</v>
      </c>
      <c r="Y41" s="2"/>
    </row>
    <row r="42" spans="1:25" s="3" customFormat="1" ht="15" customHeight="1">
      <c r="A42" s="43" t="s">
        <v>15</v>
      </c>
      <c r="B42" s="35" t="s">
        <v>104</v>
      </c>
      <c r="C42" s="38" t="s">
        <v>9</v>
      </c>
      <c r="D42" s="26" t="s">
        <v>5</v>
      </c>
      <c r="E42" s="26" t="s">
        <v>5</v>
      </c>
      <c r="F42" s="48" t="s">
        <v>106</v>
      </c>
      <c r="G42" s="26" t="s">
        <v>5</v>
      </c>
      <c r="H42" s="32">
        <v>137089.4</v>
      </c>
      <c r="I42" s="27">
        <v>0</v>
      </c>
      <c r="J42" s="32">
        <v>0</v>
      </c>
      <c r="K42" s="27">
        <v>0</v>
      </c>
      <c r="L42" s="27">
        <f t="shared" si="7"/>
        <v>137089.4</v>
      </c>
      <c r="M42" s="32">
        <v>136659.1</v>
      </c>
      <c r="N42" s="32">
        <v>0</v>
      </c>
      <c r="O42" s="32">
        <f t="shared" si="13"/>
        <v>0</v>
      </c>
      <c r="P42" s="32">
        <v>0</v>
      </c>
      <c r="Q42" s="27">
        <f t="shared" si="10"/>
        <v>136659.1</v>
      </c>
      <c r="R42" s="36">
        <f t="shared" si="1"/>
        <v>0.9969</v>
      </c>
      <c r="S42" s="46">
        <f t="shared" si="2"/>
        <v>430.3</v>
      </c>
      <c r="T42" s="26"/>
      <c r="U42" s="27">
        <f t="shared" si="3"/>
        <v>0</v>
      </c>
      <c r="V42" s="27">
        <f t="shared" si="4"/>
        <v>0</v>
      </c>
      <c r="W42" s="27">
        <f t="shared" si="5"/>
        <v>430.3</v>
      </c>
      <c r="Y42" s="2"/>
    </row>
    <row r="43" spans="1:25" s="3" customFormat="1" ht="15" customHeight="1">
      <c r="A43" s="43" t="s">
        <v>20</v>
      </c>
      <c r="B43" s="35" t="s">
        <v>104</v>
      </c>
      <c r="C43" s="38" t="s">
        <v>9</v>
      </c>
      <c r="D43" s="26">
        <v>774</v>
      </c>
      <c r="E43" s="26" t="s">
        <v>5</v>
      </c>
      <c r="F43" s="48" t="s">
        <v>106</v>
      </c>
      <c r="G43" s="26" t="s">
        <v>5</v>
      </c>
      <c r="H43" s="32">
        <v>3077.8</v>
      </c>
      <c r="I43" s="27">
        <v>0</v>
      </c>
      <c r="J43" s="32">
        <v>0</v>
      </c>
      <c r="K43" s="27">
        <v>0</v>
      </c>
      <c r="L43" s="27">
        <f t="shared" si="7"/>
        <v>3077.8</v>
      </c>
      <c r="M43" s="32">
        <v>2957.2</v>
      </c>
      <c r="N43" s="32">
        <v>0</v>
      </c>
      <c r="O43" s="32">
        <f t="shared" si="13"/>
        <v>0</v>
      </c>
      <c r="P43" s="32">
        <v>0</v>
      </c>
      <c r="Q43" s="27">
        <f t="shared" si="10"/>
        <v>2957.2</v>
      </c>
      <c r="R43" s="36">
        <f t="shared" si="1"/>
        <v>0.9608</v>
      </c>
      <c r="S43" s="46">
        <f t="shared" si="2"/>
        <v>120.6</v>
      </c>
      <c r="T43" s="26"/>
      <c r="U43" s="27">
        <f t="shared" si="3"/>
        <v>0</v>
      </c>
      <c r="V43" s="27">
        <f t="shared" si="4"/>
        <v>0</v>
      </c>
      <c r="W43" s="27">
        <f t="shared" si="5"/>
        <v>120.6</v>
      </c>
      <c r="Y43" s="2"/>
    </row>
    <row r="44" spans="1:25" s="3" customFormat="1" ht="15" customHeight="1">
      <c r="A44" s="43"/>
      <c r="B44" s="35" t="s">
        <v>59</v>
      </c>
      <c r="C44" s="38" t="s">
        <v>9</v>
      </c>
      <c r="D44" s="26"/>
      <c r="E44" s="26"/>
      <c r="F44" s="48"/>
      <c r="G44" s="26"/>
      <c r="H44" s="32">
        <v>596.3</v>
      </c>
      <c r="I44" s="27">
        <v>0</v>
      </c>
      <c r="J44" s="32">
        <v>0</v>
      </c>
      <c r="K44" s="27">
        <v>0</v>
      </c>
      <c r="L44" s="27">
        <f t="shared" si="7"/>
        <v>596.3</v>
      </c>
      <c r="M44" s="32">
        <v>560.9</v>
      </c>
      <c r="N44" s="32">
        <v>0</v>
      </c>
      <c r="O44" s="32">
        <f t="shared" si="13"/>
        <v>0</v>
      </c>
      <c r="P44" s="32">
        <v>0</v>
      </c>
      <c r="Q44" s="27">
        <f t="shared" si="10"/>
        <v>560.9</v>
      </c>
      <c r="R44" s="36">
        <f t="shared" si="1"/>
        <v>0.9406</v>
      </c>
      <c r="S44" s="46">
        <f t="shared" si="2"/>
        <v>35.4</v>
      </c>
      <c r="T44" s="26"/>
      <c r="U44" s="27">
        <f t="shared" si="3"/>
        <v>0</v>
      </c>
      <c r="V44" s="27">
        <f t="shared" si="4"/>
        <v>0</v>
      </c>
      <c r="W44" s="27">
        <f t="shared" si="5"/>
        <v>35.4</v>
      </c>
      <c r="Y44" s="2"/>
    </row>
    <row r="45" spans="1:25" s="3" customFormat="1" ht="15.75">
      <c r="A45" s="43" t="s">
        <v>85</v>
      </c>
      <c r="B45" s="35" t="s">
        <v>253</v>
      </c>
      <c r="C45" s="38" t="s">
        <v>9</v>
      </c>
      <c r="D45" s="38">
        <v>774</v>
      </c>
      <c r="E45" s="37" t="s">
        <v>7</v>
      </c>
      <c r="F45" s="37" t="s">
        <v>107</v>
      </c>
      <c r="G45" s="38">
        <v>600</v>
      </c>
      <c r="H45" s="32">
        <v>15176.1</v>
      </c>
      <c r="I45" s="32">
        <v>0</v>
      </c>
      <c r="J45" s="32">
        <v>0</v>
      </c>
      <c r="K45" s="32">
        <v>0</v>
      </c>
      <c r="L45" s="27">
        <f t="shared" si="7"/>
        <v>15176.1</v>
      </c>
      <c r="M45" s="32">
        <v>15176.1</v>
      </c>
      <c r="N45" s="32">
        <v>0</v>
      </c>
      <c r="O45" s="32">
        <f t="shared" si="13"/>
        <v>0</v>
      </c>
      <c r="P45" s="32">
        <v>0</v>
      </c>
      <c r="Q45" s="27">
        <f t="shared" si="10"/>
        <v>15176.1</v>
      </c>
      <c r="R45" s="36">
        <f t="shared" si="1"/>
        <v>1</v>
      </c>
      <c r="S45" s="46">
        <f t="shared" si="2"/>
        <v>0</v>
      </c>
      <c r="T45" s="26"/>
      <c r="U45" s="27">
        <f t="shared" si="3"/>
        <v>0</v>
      </c>
      <c r="V45" s="27">
        <f t="shared" si="4"/>
        <v>0</v>
      </c>
      <c r="W45" s="27">
        <f t="shared" si="5"/>
        <v>0</v>
      </c>
      <c r="Y45" s="2"/>
    </row>
    <row r="46" spans="1:25" s="3" customFormat="1" ht="15" customHeight="1">
      <c r="A46" s="43" t="s">
        <v>83</v>
      </c>
      <c r="B46" s="35" t="s">
        <v>27</v>
      </c>
      <c r="C46" s="38" t="s">
        <v>9</v>
      </c>
      <c r="D46" s="38">
        <v>774</v>
      </c>
      <c r="E46" s="37" t="s">
        <v>7</v>
      </c>
      <c r="F46" s="37" t="s">
        <v>108</v>
      </c>
      <c r="G46" s="38">
        <v>600</v>
      </c>
      <c r="H46" s="32">
        <v>1583.7</v>
      </c>
      <c r="I46" s="32">
        <v>0</v>
      </c>
      <c r="J46" s="32">
        <v>0</v>
      </c>
      <c r="K46" s="32">
        <v>0</v>
      </c>
      <c r="L46" s="27">
        <f t="shared" si="7"/>
        <v>1583.7</v>
      </c>
      <c r="M46" s="32">
        <v>1583.7</v>
      </c>
      <c r="N46" s="32">
        <v>0</v>
      </c>
      <c r="O46" s="32">
        <f t="shared" si="13"/>
        <v>0</v>
      </c>
      <c r="P46" s="32">
        <v>0</v>
      </c>
      <c r="Q46" s="27">
        <f t="shared" si="10"/>
        <v>1583.7</v>
      </c>
      <c r="R46" s="36">
        <f t="shared" si="1"/>
        <v>1</v>
      </c>
      <c r="S46" s="46">
        <f t="shared" si="2"/>
        <v>0</v>
      </c>
      <c r="T46" s="26"/>
      <c r="U46" s="27">
        <f t="shared" si="3"/>
        <v>0</v>
      </c>
      <c r="V46" s="27">
        <f t="shared" si="4"/>
        <v>0</v>
      </c>
      <c r="W46" s="27">
        <f t="shared" si="5"/>
        <v>0</v>
      </c>
      <c r="Y46" s="2"/>
    </row>
    <row r="47" spans="1:25" s="3" customFormat="1" ht="15.75">
      <c r="A47" s="43" t="s">
        <v>84</v>
      </c>
      <c r="B47" s="35" t="s">
        <v>138</v>
      </c>
      <c r="C47" s="38" t="s">
        <v>9</v>
      </c>
      <c r="D47" s="38">
        <v>774</v>
      </c>
      <c r="E47" s="37" t="s">
        <v>7</v>
      </c>
      <c r="F47" s="37" t="s">
        <v>109</v>
      </c>
      <c r="G47" s="38">
        <v>600</v>
      </c>
      <c r="H47" s="32">
        <v>710.7</v>
      </c>
      <c r="I47" s="32">
        <v>0</v>
      </c>
      <c r="J47" s="32">
        <v>0</v>
      </c>
      <c r="K47" s="32">
        <v>0</v>
      </c>
      <c r="L47" s="27">
        <f t="shared" si="7"/>
        <v>710.7</v>
      </c>
      <c r="M47" s="32">
        <v>710.7</v>
      </c>
      <c r="N47" s="32">
        <v>0</v>
      </c>
      <c r="O47" s="32">
        <f t="shared" si="13"/>
        <v>0</v>
      </c>
      <c r="P47" s="32">
        <v>0</v>
      </c>
      <c r="Q47" s="27">
        <f t="shared" si="10"/>
        <v>710.7</v>
      </c>
      <c r="R47" s="36">
        <f t="shared" si="1"/>
        <v>1</v>
      </c>
      <c r="S47" s="46">
        <f t="shared" si="2"/>
        <v>0</v>
      </c>
      <c r="T47" s="26"/>
      <c r="U47" s="27">
        <f t="shared" si="3"/>
        <v>0</v>
      </c>
      <c r="V47" s="27">
        <f t="shared" si="4"/>
        <v>0</v>
      </c>
      <c r="W47" s="27">
        <f t="shared" si="5"/>
        <v>0</v>
      </c>
      <c r="Y47" s="2"/>
    </row>
    <row r="48" spans="1:25" s="3" customFormat="1" ht="31.5">
      <c r="A48" s="43"/>
      <c r="B48" s="51" t="s">
        <v>220</v>
      </c>
      <c r="C48" s="38" t="s">
        <v>9</v>
      </c>
      <c r="D48" s="38">
        <v>774</v>
      </c>
      <c r="E48" s="37" t="s">
        <v>6</v>
      </c>
      <c r="F48" s="37" t="s">
        <v>109</v>
      </c>
      <c r="G48" s="38">
        <v>600</v>
      </c>
      <c r="H48" s="32">
        <v>2868.3</v>
      </c>
      <c r="I48" s="32">
        <v>0</v>
      </c>
      <c r="J48" s="32">
        <v>0</v>
      </c>
      <c r="K48" s="32">
        <v>0</v>
      </c>
      <c r="L48" s="27">
        <f t="shared" si="7"/>
        <v>2868.3</v>
      </c>
      <c r="M48" s="32">
        <v>2759.6</v>
      </c>
      <c r="N48" s="32">
        <v>0</v>
      </c>
      <c r="O48" s="32">
        <f t="shared" si="13"/>
        <v>0</v>
      </c>
      <c r="P48" s="32">
        <v>0</v>
      </c>
      <c r="Q48" s="27">
        <f t="shared" si="10"/>
        <v>2759.6</v>
      </c>
      <c r="R48" s="36">
        <f t="shared" si="1"/>
        <v>0.9621</v>
      </c>
      <c r="S48" s="46">
        <f t="shared" si="2"/>
        <v>108.7</v>
      </c>
      <c r="T48" s="26"/>
      <c r="U48" s="27">
        <f t="shared" si="3"/>
        <v>0</v>
      </c>
      <c r="V48" s="27">
        <f t="shared" si="4"/>
        <v>0</v>
      </c>
      <c r="W48" s="27">
        <f t="shared" si="5"/>
        <v>108.7</v>
      </c>
      <c r="Y48" s="2"/>
    </row>
    <row r="49" spans="1:25" s="3" customFormat="1" ht="15.75">
      <c r="A49" s="43"/>
      <c r="B49" s="52" t="s">
        <v>257</v>
      </c>
      <c r="C49" s="38" t="s">
        <v>9</v>
      </c>
      <c r="D49" s="38"/>
      <c r="E49" s="37"/>
      <c r="F49" s="37"/>
      <c r="G49" s="38"/>
      <c r="H49" s="32">
        <v>2842.2</v>
      </c>
      <c r="I49" s="32"/>
      <c r="J49" s="32"/>
      <c r="K49" s="32">
        <v>0</v>
      </c>
      <c r="L49" s="27">
        <f t="shared" si="7"/>
        <v>2842.2</v>
      </c>
      <c r="M49" s="32">
        <v>2842.2</v>
      </c>
      <c r="N49" s="32"/>
      <c r="O49" s="32"/>
      <c r="P49" s="32"/>
      <c r="Q49" s="27">
        <f t="shared" si="10"/>
        <v>2842.2</v>
      </c>
      <c r="R49" s="36">
        <f t="shared" si="1"/>
        <v>1</v>
      </c>
      <c r="S49" s="46"/>
      <c r="T49" s="26"/>
      <c r="U49" s="27"/>
      <c r="V49" s="27"/>
      <c r="W49" s="27"/>
      <c r="Y49" s="2"/>
    </row>
    <row r="50" spans="1:25" s="3" customFormat="1" ht="31.5">
      <c r="A50" s="43"/>
      <c r="B50" s="52" t="s">
        <v>280</v>
      </c>
      <c r="C50" s="38" t="s">
        <v>9</v>
      </c>
      <c r="D50" s="38"/>
      <c r="E50" s="37"/>
      <c r="F50" s="37"/>
      <c r="G50" s="38"/>
      <c r="H50" s="32">
        <v>310.5</v>
      </c>
      <c r="I50" s="32"/>
      <c r="J50" s="32"/>
      <c r="K50" s="32">
        <v>0</v>
      </c>
      <c r="L50" s="27">
        <f t="shared" si="7"/>
        <v>310.5</v>
      </c>
      <c r="M50" s="32">
        <v>280.2</v>
      </c>
      <c r="N50" s="32"/>
      <c r="O50" s="32"/>
      <c r="P50" s="32"/>
      <c r="Q50" s="27">
        <f t="shared" si="10"/>
        <v>280.2</v>
      </c>
      <c r="R50" s="36">
        <f t="shared" si="1"/>
        <v>0.9024</v>
      </c>
      <c r="S50" s="46"/>
      <c r="T50" s="26"/>
      <c r="U50" s="27"/>
      <c r="V50" s="27"/>
      <c r="W50" s="27"/>
      <c r="Y50" s="2"/>
    </row>
    <row r="51" spans="1:25" s="3" customFormat="1" ht="47.25">
      <c r="A51" s="43"/>
      <c r="B51" s="35" t="s">
        <v>189</v>
      </c>
      <c r="C51" s="38" t="s">
        <v>9</v>
      </c>
      <c r="D51" s="38"/>
      <c r="E51" s="37"/>
      <c r="F51" s="37"/>
      <c r="G51" s="38"/>
      <c r="H51" s="32">
        <v>0</v>
      </c>
      <c r="I51" s="32">
        <v>0</v>
      </c>
      <c r="J51" s="32">
        <v>788982.4</v>
      </c>
      <c r="K51" s="32">
        <v>0</v>
      </c>
      <c r="L51" s="27">
        <f t="shared" si="7"/>
        <v>788982.4</v>
      </c>
      <c r="M51" s="32">
        <v>0</v>
      </c>
      <c r="N51" s="32">
        <v>0</v>
      </c>
      <c r="O51" s="32">
        <v>724973</v>
      </c>
      <c r="P51" s="32">
        <v>0</v>
      </c>
      <c r="Q51" s="27">
        <f t="shared" si="10"/>
        <v>724973</v>
      </c>
      <c r="R51" s="36">
        <f t="shared" si="1"/>
        <v>0.9189</v>
      </c>
      <c r="S51" s="46">
        <f t="shared" si="2"/>
        <v>0</v>
      </c>
      <c r="T51" s="26"/>
      <c r="U51" s="27">
        <f t="shared" si="3"/>
        <v>64009.4</v>
      </c>
      <c r="V51" s="27">
        <f t="shared" si="4"/>
        <v>0</v>
      </c>
      <c r="W51" s="27">
        <f t="shared" si="5"/>
        <v>64009.4</v>
      </c>
      <c r="Y51" s="2"/>
    </row>
    <row r="52" spans="1:25" s="3" customFormat="1" ht="47.25">
      <c r="A52" s="43"/>
      <c r="B52" s="35" t="s">
        <v>189</v>
      </c>
      <c r="C52" s="38" t="s">
        <v>9</v>
      </c>
      <c r="D52" s="38"/>
      <c r="E52" s="37"/>
      <c r="F52" s="37"/>
      <c r="G52" s="38"/>
      <c r="H52" s="32">
        <v>0</v>
      </c>
      <c r="I52" s="32">
        <v>0</v>
      </c>
      <c r="J52" s="32">
        <v>72725.7</v>
      </c>
      <c r="K52" s="32">
        <v>0</v>
      </c>
      <c r="L52" s="27">
        <f t="shared" si="7"/>
        <v>72725.7</v>
      </c>
      <c r="M52" s="32">
        <v>0</v>
      </c>
      <c r="N52" s="32">
        <v>0</v>
      </c>
      <c r="O52" s="32">
        <v>72725.7</v>
      </c>
      <c r="P52" s="32">
        <v>0</v>
      </c>
      <c r="Q52" s="27">
        <f t="shared" si="10"/>
        <v>72725.7</v>
      </c>
      <c r="R52" s="36">
        <f t="shared" si="1"/>
        <v>1</v>
      </c>
      <c r="S52" s="46">
        <f t="shared" si="2"/>
        <v>0</v>
      </c>
      <c r="T52" s="26"/>
      <c r="U52" s="27">
        <f t="shared" si="3"/>
        <v>0</v>
      </c>
      <c r="V52" s="27">
        <f t="shared" si="4"/>
        <v>0</v>
      </c>
      <c r="W52" s="27">
        <f t="shared" si="5"/>
        <v>0</v>
      </c>
      <c r="Y52" s="2"/>
    </row>
    <row r="53" spans="1:25" s="3" customFormat="1" ht="31.5">
      <c r="A53" s="43"/>
      <c r="B53" s="35" t="s">
        <v>190</v>
      </c>
      <c r="C53" s="38" t="s">
        <v>9</v>
      </c>
      <c r="D53" s="38"/>
      <c r="E53" s="37"/>
      <c r="F53" s="37"/>
      <c r="G53" s="38"/>
      <c r="H53" s="32">
        <v>0</v>
      </c>
      <c r="I53" s="32">
        <v>0</v>
      </c>
      <c r="J53" s="32">
        <v>19558.6</v>
      </c>
      <c r="K53" s="32">
        <v>0</v>
      </c>
      <c r="L53" s="27">
        <f t="shared" si="7"/>
        <v>19558.6</v>
      </c>
      <c r="M53" s="32">
        <v>0</v>
      </c>
      <c r="N53" s="32">
        <v>0</v>
      </c>
      <c r="O53" s="32">
        <v>19533.7</v>
      </c>
      <c r="P53" s="32">
        <v>0</v>
      </c>
      <c r="Q53" s="27">
        <f t="shared" si="10"/>
        <v>19533.7</v>
      </c>
      <c r="R53" s="36">
        <f t="shared" si="1"/>
        <v>0.9987</v>
      </c>
      <c r="S53" s="46">
        <f t="shared" si="2"/>
        <v>0</v>
      </c>
      <c r="T53" s="26"/>
      <c r="U53" s="27">
        <f t="shared" si="3"/>
        <v>24.9</v>
      </c>
      <c r="V53" s="27">
        <f t="shared" si="4"/>
        <v>0</v>
      </c>
      <c r="W53" s="27">
        <f t="shared" si="5"/>
        <v>24.9</v>
      </c>
      <c r="Y53" s="2"/>
    </row>
    <row r="54" spans="1:25" s="3" customFormat="1" ht="31.5" hidden="1">
      <c r="A54" s="43"/>
      <c r="B54" s="35" t="s">
        <v>254</v>
      </c>
      <c r="C54" s="38" t="s">
        <v>9</v>
      </c>
      <c r="D54" s="38"/>
      <c r="E54" s="37"/>
      <c r="F54" s="37"/>
      <c r="G54" s="38"/>
      <c r="H54" s="32">
        <v>0</v>
      </c>
      <c r="I54" s="32">
        <v>0</v>
      </c>
      <c r="J54" s="32"/>
      <c r="K54" s="32">
        <v>0</v>
      </c>
      <c r="L54" s="27">
        <f t="shared" si="7"/>
        <v>0</v>
      </c>
      <c r="M54" s="32">
        <v>0</v>
      </c>
      <c r="N54" s="32">
        <v>0</v>
      </c>
      <c r="O54" s="32"/>
      <c r="P54" s="32">
        <v>0</v>
      </c>
      <c r="Q54" s="27">
        <f t="shared" si="10"/>
        <v>0</v>
      </c>
      <c r="R54" s="36" t="e">
        <f t="shared" si="1"/>
        <v>#DIV/0!</v>
      </c>
      <c r="S54" s="46">
        <f t="shared" si="2"/>
        <v>0</v>
      </c>
      <c r="T54" s="26"/>
      <c r="U54" s="27">
        <f t="shared" si="3"/>
        <v>0</v>
      </c>
      <c r="V54" s="27">
        <f t="shared" si="4"/>
        <v>0</v>
      </c>
      <c r="W54" s="27">
        <f t="shared" si="5"/>
        <v>0</v>
      </c>
      <c r="Y54" s="2"/>
    </row>
    <row r="55" spans="1:25" s="3" customFormat="1" ht="15.75">
      <c r="A55" s="43"/>
      <c r="B55" s="35" t="s">
        <v>255</v>
      </c>
      <c r="C55" s="38" t="s">
        <v>9</v>
      </c>
      <c r="D55" s="38"/>
      <c r="E55" s="37"/>
      <c r="F55" s="37"/>
      <c r="G55" s="38"/>
      <c r="H55" s="32">
        <v>0</v>
      </c>
      <c r="I55" s="32">
        <v>0</v>
      </c>
      <c r="J55" s="32">
        <v>2400</v>
      </c>
      <c r="K55" s="32">
        <v>0</v>
      </c>
      <c r="L55" s="27">
        <f t="shared" si="7"/>
        <v>2400</v>
      </c>
      <c r="M55" s="32">
        <v>0</v>
      </c>
      <c r="N55" s="32">
        <v>0</v>
      </c>
      <c r="O55" s="32">
        <f>J55</f>
        <v>2400</v>
      </c>
      <c r="P55" s="32">
        <v>0</v>
      </c>
      <c r="Q55" s="27">
        <f t="shared" si="10"/>
        <v>2400</v>
      </c>
      <c r="R55" s="36">
        <f t="shared" si="1"/>
        <v>1</v>
      </c>
      <c r="S55" s="46">
        <f t="shared" si="2"/>
        <v>0</v>
      </c>
      <c r="T55" s="26"/>
      <c r="U55" s="27">
        <f t="shared" si="3"/>
        <v>0</v>
      </c>
      <c r="V55" s="27">
        <f t="shared" si="4"/>
        <v>0</v>
      </c>
      <c r="W55" s="27">
        <f t="shared" si="5"/>
        <v>0</v>
      </c>
      <c r="Y55" s="2"/>
    </row>
    <row r="56" spans="1:25" s="3" customFormat="1" ht="15.75">
      <c r="A56" s="43"/>
      <c r="B56" s="51" t="s">
        <v>191</v>
      </c>
      <c r="C56" s="38" t="s">
        <v>9</v>
      </c>
      <c r="D56" s="38"/>
      <c r="E56" s="37"/>
      <c r="F56" s="37"/>
      <c r="G56" s="38"/>
      <c r="H56" s="32">
        <v>0</v>
      </c>
      <c r="I56" s="32">
        <v>0</v>
      </c>
      <c r="J56" s="32">
        <v>26403.9</v>
      </c>
      <c r="K56" s="32">
        <v>0</v>
      </c>
      <c r="L56" s="27">
        <f t="shared" si="7"/>
        <v>26403.9</v>
      </c>
      <c r="M56" s="32">
        <v>0</v>
      </c>
      <c r="N56" s="32">
        <v>0</v>
      </c>
      <c r="O56" s="32">
        <v>26100.7</v>
      </c>
      <c r="P56" s="32">
        <v>0</v>
      </c>
      <c r="Q56" s="27">
        <f t="shared" si="10"/>
        <v>26100.7</v>
      </c>
      <c r="R56" s="36">
        <f t="shared" si="1"/>
        <v>0.9885</v>
      </c>
      <c r="S56" s="46">
        <f t="shared" si="2"/>
        <v>0</v>
      </c>
      <c r="T56" s="26"/>
      <c r="U56" s="27">
        <f t="shared" si="3"/>
        <v>303.2</v>
      </c>
      <c r="V56" s="27">
        <f t="shared" si="4"/>
        <v>0</v>
      </c>
      <c r="W56" s="27">
        <f t="shared" si="5"/>
        <v>303.2</v>
      </c>
      <c r="Y56" s="2"/>
    </row>
    <row r="57" spans="1:25" s="3" customFormat="1" ht="15.75">
      <c r="A57" s="43"/>
      <c r="B57" s="35" t="s">
        <v>192</v>
      </c>
      <c r="C57" s="38" t="s">
        <v>9</v>
      </c>
      <c r="D57" s="38"/>
      <c r="E57" s="37"/>
      <c r="F57" s="37"/>
      <c r="G57" s="38"/>
      <c r="H57" s="32">
        <v>0</v>
      </c>
      <c r="I57" s="32">
        <v>0</v>
      </c>
      <c r="J57" s="32">
        <v>36040.9</v>
      </c>
      <c r="K57" s="32">
        <v>0</v>
      </c>
      <c r="L57" s="27">
        <f t="shared" si="7"/>
        <v>36040.9</v>
      </c>
      <c r="M57" s="32">
        <v>0</v>
      </c>
      <c r="N57" s="32">
        <v>0</v>
      </c>
      <c r="O57" s="32">
        <v>34223.1</v>
      </c>
      <c r="P57" s="32">
        <v>0</v>
      </c>
      <c r="Q57" s="27">
        <f t="shared" si="10"/>
        <v>34223.1</v>
      </c>
      <c r="R57" s="36">
        <f t="shared" si="1"/>
        <v>0.9496</v>
      </c>
      <c r="S57" s="46">
        <f t="shared" si="2"/>
        <v>0</v>
      </c>
      <c r="T57" s="26"/>
      <c r="U57" s="27">
        <f t="shared" si="3"/>
        <v>1817.8</v>
      </c>
      <c r="V57" s="27">
        <f t="shared" si="4"/>
        <v>0</v>
      </c>
      <c r="W57" s="27">
        <f t="shared" si="5"/>
        <v>1817.8</v>
      </c>
      <c r="Y57" s="2"/>
    </row>
    <row r="58" spans="1:25" s="3" customFormat="1" ht="31.5" hidden="1">
      <c r="A58" s="43"/>
      <c r="B58" s="35" t="s">
        <v>206</v>
      </c>
      <c r="C58" s="38" t="s">
        <v>9</v>
      </c>
      <c r="D58" s="38"/>
      <c r="E58" s="37"/>
      <c r="F58" s="37"/>
      <c r="G58" s="38"/>
      <c r="H58" s="32">
        <v>0</v>
      </c>
      <c r="I58" s="32">
        <v>0</v>
      </c>
      <c r="J58" s="32"/>
      <c r="K58" s="32">
        <v>0</v>
      </c>
      <c r="L58" s="27">
        <f t="shared" si="7"/>
        <v>0</v>
      </c>
      <c r="M58" s="32">
        <v>0</v>
      </c>
      <c r="N58" s="32">
        <v>0</v>
      </c>
      <c r="O58" s="32">
        <f>J58</f>
        <v>0</v>
      </c>
      <c r="P58" s="32">
        <v>0</v>
      </c>
      <c r="Q58" s="27">
        <f t="shared" si="10"/>
        <v>0</v>
      </c>
      <c r="R58" s="36" t="e">
        <f t="shared" si="1"/>
        <v>#DIV/0!</v>
      </c>
      <c r="S58" s="46">
        <f t="shared" si="2"/>
        <v>0</v>
      </c>
      <c r="T58" s="26"/>
      <c r="U58" s="27">
        <f t="shared" si="3"/>
        <v>0</v>
      </c>
      <c r="V58" s="27">
        <f t="shared" si="4"/>
        <v>0</v>
      </c>
      <c r="W58" s="27">
        <f t="shared" si="5"/>
        <v>0</v>
      </c>
      <c r="Y58" s="2"/>
    </row>
    <row r="59" spans="1:25" s="3" customFormat="1" ht="31.5">
      <c r="A59" s="43"/>
      <c r="B59" s="35" t="s">
        <v>225</v>
      </c>
      <c r="C59" s="38" t="s">
        <v>9</v>
      </c>
      <c r="D59" s="38"/>
      <c r="E59" s="37"/>
      <c r="F59" s="37"/>
      <c r="G59" s="38"/>
      <c r="H59" s="32">
        <v>0</v>
      </c>
      <c r="I59" s="32">
        <v>0</v>
      </c>
      <c r="J59" s="32">
        <v>95</v>
      </c>
      <c r="K59" s="32">
        <v>0</v>
      </c>
      <c r="L59" s="27">
        <f t="shared" si="7"/>
        <v>95</v>
      </c>
      <c r="M59" s="32">
        <v>0</v>
      </c>
      <c r="N59" s="32">
        <v>0</v>
      </c>
      <c r="O59" s="32">
        <v>95</v>
      </c>
      <c r="P59" s="32">
        <v>0</v>
      </c>
      <c r="Q59" s="27">
        <f t="shared" si="10"/>
        <v>95</v>
      </c>
      <c r="R59" s="36">
        <f t="shared" si="1"/>
        <v>1</v>
      </c>
      <c r="S59" s="46">
        <f t="shared" si="2"/>
        <v>0</v>
      </c>
      <c r="T59" s="26"/>
      <c r="U59" s="27">
        <f t="shared" si="3"/>
        <v>0</v>
      </c>
      <c r="V59" s="27">
        <f t="shared" si="4"/>
        <v>0</v>
      </c>
      <c r="W59" s="27">
        <f t="shared" si="5"/>
        <v>0</v>
      </c>
      <c r="Y59" s="2"/>
    </row>
    <row r="60" spans="1:25" s="3" customFormat="1" ht="47.25">
      <c r="A60" s="43" t="s">
        <v>98</v>
      </c>
      <c r="B60" s="53" t="s">
        <v>141</v>
      </c>
      <c r="C60" s="38" t="s">
        <v>9</v>
      </c>
      <c r="D60" s="38">
        <v>774</v>
      </c>
      <c r="E60" s="37" t="s">
        <v>7</v>
      </c>
      <c r="F60" s="37" t="s">
        <v>110</v>
      </c>
      <c r="G60" s="38">
        <v>600</v>
      </c>
      <c r="H60" s="32">
        <f>H61</f>
        <v>5075.2</v>
      </c>
      <c r="I60" s="32">
        <f aca="true" t="shared" si="14" ref="I60:P60">I61</f>
        <v>0</v>
      </c>
      <c r="J60" s="32">
        <f t="shared" si="14"/>
        <v>0</v>
      </c>
      <c r="K60" s="32">
        <f t="shared" si="14"/>
        <v>0</v>
      </c>
      <c r="L60" s="27">
        <f t="shared" si="7"/>
        <v>5075.2</v>
      </c>
      <c r="M60" s="32">
        <f t="shared" si="14"/>
        <v>5035.2</v>
      </c>
      <c r="N60" s="32">
        <f t="shared" si="14"/>
        <v>0</v>
      </c>
      <c r="O60" s="32">
        <f t="shared" si="14"/>
        <v>0</v>
      </c>
      <c r="P60" s="32">
        <f t="shared" si="14"/>
        <v>0</v>
      </c>
      <c r="Q60" s="27">
        <f t="shared" si="10"/>
        <v>5035.2</v>
      </c>
      <c r="R60" s="36">
        <f t="shared" si="1"/>
        <v>0.9921</v>
      </c>
      <c r="S60" s="46">
        <f t="shared" si="2"/>
        <v>40</v>
      </c>
      <c r="T60" s="26"/>
      <c r="U60" s="27">
        <f t="shared" si="3"/>
        <v>0</v>
      </c>
      <c r="V60" s="27">
        <f t="shared" si="4"/>
        <v>0</v>
      </c>
      <c r="W60" s="27">
        <f t="shared" si="5"/>
        <v>40</v>
      </c>
      <c r="Y60" s="2"/>
    </row>
    <row r="61" spans="1:25" s="3" customFormat="1" ht="31.5">
      <c r="A61" s="43" t="s">
        <v>144</v>
      </c>
      <c r="B61" s="35" t="s">
        <v>78</v>
      </c>
      <c r="C61" s="38" t="s">
        <v>9</v>
      </c>
      <c r="D61" s="38">
        <v>774</v>
      </c>
      <c r="E61" s="37" t="s">
        <v>6</v>
      </c>
      <c r="F61" s="37" t="s">
        <v>140</v>
      </c>
      <c r="G61" s="38">
        <v>600</v>
      </c>
      <c r="H61" s="32">
        <v>5075.2</v>
      </c>
      <c r="I61" s="32">
        <v>0</v>
      </c>
      <c r="J61" s="32">
        <v>0</v>
      </c>
      <c r="K61" s="32">
        <v>0</v>
      </c>
      <c r="L61" s="27">
        <f t="shared" si="7"/>
        <v>5075.2</v>
      </c>
      <c r="M61" s="32">
        <v>5035.2</v>
      </c>
      <c r="N61" s="32">
        <v>0</v>
      </c>
      <c r="O61" s="32">
        <f>J61</f>
        <v>0</v>
      </c>
      <c r="P61" s="32">
        <v>0</v>
      </c>
      <c r="Q61" s="27">
        <f t="shared" si="10"/>
        <v>5035.2</v>
      </c>
      <c r="R61" s="36">
        <f t="shared" si="1"/>
        <v>0.9921</v>
      </c>
      <c r="S61" s="46">
        <f t="shared" si="2"/>
        <v>40</v>
      </c>
      <c r="T61" s="26"/>
      <c r="U61" s="27">
        <f t="shared" si="3"/>
        <v>0</v>
      </c>
      <c r="V61" s="27">
        <f t="shared" si="4"/>
        <v>0</v>
      </c>
      <c r="W61" s="27">
        <f t="shared" si="5"/>
        <v>40</v>
      </c>
      <c r="Y61" s="2"/>
    </row>
    <row r="62" spans="1:25" s="3" customFormat="1" ht="31.5" customHeight="1">
      <c r="A62" s="43" t="s">
        <v>226</v>
      </c>
      <c r="B62" s="71" t="s">
        <v>256</v>
      </c>
      <c r="C62" s="26" t="s">
        <v>5</v>
      </c>
      <c r="D62" s="38">
        <v>774</v>
      </c>
      <c r="E62" s="37" t="s">
        <v>7</v>
      </c>
      <c r="F62" s="37" t="s">
        <v>222</v>
      </c>
      <c r="G62" s="38">
        <v>600</v>
      </c>
      <c r="H62" s="27">
        <f>H63</f>
        <v>64545.4</v>
      </c>
      <c r="I62" s="27">
        <f aca="true" t="shared" si="15" ref="I62:P62">I63</f>
        <v>0</v>
      </c>
      <c r="J62" s="27">
        <f t="shared" si="15"/>
        <v>0</v>
      </c>
      <c r="K62" s="27">
        <f t="shared" si="15"/>
        <v>0</v>
      </c>
      <c r="L62" s="27">
        <f t="shared" si="7"/>
        <v>64545.4</v>
      </c>
      <c r="M62" s="27">
        <f>M63</f>
        <v>64483</v>
      </c>
      <c r="N62" s="27">
        <f t="shared" si="15"/>
        <v>0</v>
      </c>
      <c r="O62" s="27">
        <f t="shared" si="15"/>
        <v>0</v>
      </c>
      <c r="P62" s="27">
        <f t="shared" si="15"/>
        <v>0</v>
      </c>
      <c r="Q62" s="27">
        <f t="shared" si="10"/>
        <v>64483</v>
      </c>
      <c r="R62" s="36">
        <f t="shared" si="1"/>
        <v>0.999</v>
      </c>
      <c r="S62" s="46">
        <f t="shared" si="2"/>
        <v>62.4</v>
      </c>
      <c r="T62" s="26"/>
      <c r="U62" s="27">
        <f t="shared" si="3"/>
        <v>0</v>
      </c>
      <c r="V62" s="27">
        <f t="shared" si="4"/>
        <v>0</v>
      </c>
      <c r="W62" s="27">
        <f t="shared" si="5"/>
        <v>62.4</v>
      </c>
      <c r="Y62" s="2"/>
    </row>
    <row r="63" spans="1:25" s="3" customFormat="1" ht="15.75">
      <c r="A63" s="43"/>
      <c r="B63" s="71"/>
      <c r="C63" s="26" t="s">
        <v>9</v>
      </c>
      <c r="D63" s="38"/>
      <c r="E63" s="37"/>
      <c r="F63" s="37"/>
      <c r="G63" s="38"/>
      <c r="H63" s="27">
        <f>H64+H68</f>
        <v>64545.4</v>
      </c>
      <c r="I63" s="27">
        <f>I64+I68</f>
        <v>0</v>
      </c>
      <c r="J63" s="27">
        <f>J64+J68</f>
        <v>0</v>
      </c>
      <c r="K63" s="27">
        <f>K64+K68</f>
        <v>0</v>
      </c>
      <c r="L63" s="27">
        <f t="shared" si="7"/>
        <v>64545.4</v>
      </c>
      <c r="M63" s="27">
        <f>M64+M68</f>
        <v>64483</v>
      </c>
      <c r="N63" s="27">
        <f>N64+N68</f>
        <v>0</v>
      </c>
      <c r="O63" s="27">
        <f>O64+O68</f>
        <v>0</v>
      </c>
      <c r="P63" s="27">
        <f>P64+P68</f>
        <v>0</v>
      </c>
      <c r="Q63" s="27">
        <f t="shared" si="10"/>
        <v>64483</v>
      </c>
      <c r="R63" s="36">
        <f t="shared" si="1"/>
        <v>0.999</v>
      </c>
      <c r="S63" s="46">
        <f t="shared" si="2"/>
        <v>62.4</v>
      </c>
      <c r="T63" s="26"/>
      <c r="U63" s="27">
        <f t="shared" si="3"/>
        <v>0</v>
      </c>
      <c r="V63" s="27">
        <f t="shared" si="4"/>
        <v>0</v>
      </c>
      <c r="W63" s="27">
        <f t="shared" si="5"/>
        <v>62.4</v>
      </c>
      <c r="Y63" s="2"/>
    </row>
    <row r="64" spans="1:25" s="3" customFormat="1" ht="31.5">
      <c r="A64" s="43"/>
      <c r="B64" s="54" t="s">
        <v>88</v>
      </c>
      <c r="C64" s="38" t="s">
        <v>9</v>
      </c>
      <c r="D64" s="38"/>
      <c r="E64" s="37"/>
      <c r="F64" s="37"/>
      <c r="G64" s="38"/>
      <c r="H64" s="32">
        <f>SUM(H65:H67)</f>
        <v>52360.3</v>
      </c>
      <c r="I64" s="32">
        <f aca="true" t="shared" si="16" ref="I64:P64">SUM(I65:I66)</f>
        <v>0</v>
      </c>
      <c r="J64" s="32">
        <f t="shared" si="16"/>
        <v>0</v>
      </c>
      <c r="K64" s="32">
        <f t="shared" si="16"/>
        <v>0</v>
      </c>
      <c r="L64" s="27">
        <f t="shared" si="7"/>
        <v>52360.3</v>
      </c>
      <c r="M64" s="32">
        <f>SUM(M65:M67)</f>
        <v>52360.3</v>
      </c>
      <c r="N64" s="32">
        <f t="shared" si="16"/>
        <v>0</v>
      </c>
      <c r="O64" s="32">
        <f t="shared" si="16"/>
        <v>0</v>
      </c>
      <c r="P64" s="32">
        <f t="shared" si="16"/>
        <v>0</v>
      </c>
      <c r="Q64" s="27">
        <f t="shared" si="10"/>
        <v>52360.3</v>
      </c>
      <c r="R64" s="36">
        <f t="shared" si="1"/>
        <v>1</v>
      </c>
      <c r="S64" s="46">
        <f t="shared" si="2"/>
        <v>0</v>
      </c>
      <c r="T64" s="26"/>
      <c r="U64" s="27">
        <f t="shared" si="3"/>
        <v>0</v>
      </c>
      <c r="V64" s="27">
        <f t="shared" si="4"/>
        <v>0</v>
      </c>
      <c r="W64" s="27">
        <f t="shared" si="5"/>
        <v>0</v>
      </c>
      <c r="Y64" s="2"/>
    </row>
    <row r="65" spans="1:25" s="3" customFormat="1" ht="31.5">
      <c r="A65" s="43"/>
      <c r="B65" s="35" t="s">
        <v>104</v>
      </c>
      <c r="C65" s="38" t="s">
        <v>9</v>
      </c>
      <c r="D65" s="38"/>
      <c r="E65" s="37"/>
      <c r="F65" s="37"/>
      <c r="G65" s="38"/>
      <c r="H65" s="32">
        <v>50409.9</v>
      </c>
      <c r="I65" s="32">
        <v>0</v>
      </c>
      <c r="J65" s="32">
        <v>0</v>
      </c>
      <c r="K65" s="32">
        <v>0</v>
      </c>
      <c r="L65" s="27">
        <f t="shared" si="7"/>
        <v>50409.9</v>
      </c>
      <c r="M65" s="32">
        <v>50409.9</v>
      </c>
      <c r="N65" s="32">
        <v>0</v>
      </c>
      <c r="O65" s="32">
        <f>J65</f>
        <v>0</v>
      </c>
      <c r="P65" s="32">
        <v>0</v>
      </c>
      <c r="Q65" s="27">
        <f t="shared" si="10"/>
        <v>50409.9</v>
      </c>
      <c r="R65" s="36">
        <f t="shared" si="1"/>
        <v>1</v>
      </c>
      <c r="S65" s="46">
        <f t="shared" si="2"/>
        <v>0</v>
      </c>
      <c r="T65" s="26"/>
      <c r="U65" s="27">
        <f t="shared" si="3"/>
        <v>0</v>
      </c>
      <c r="V65" s="27">
        <f t="shared" si="4"/>
        <v>0</v>
      </c>
      <c r="W65" s="27">
        <f t="shared" si="5"/>
        <v>0</v>
      </c>
      <c r="Y65" s="2"/>
    </row>
    <row r="66" spans="1:25" s="3" customFormat="1" ht="31.5">
      <c r="A66" s="43"/>
      <c r="B66" s="51" t="s">
        <v>220</v>
      </c>
      <c r="C66" s="38" t="s">
        <v>9</v>
      </c>
      <c r="D66" s="38"/>
      <c r="E66" s="37"/>
      <c r="F66" s="37"/>
      <c r="G66" s="38"/>
      <c r="H66" s="32">
        <v>81.6</v>
      </c>
      <c r="I66" s="32">
        <v>0</v>
      </c>
      <c r="J66" s="32">
        <v>0</v>
      </c>
      <c r="K66" s="32">
        <v>0</v>
      </c>
      <c r="L66" s="27">
        <f t="shared" si="7"/>
        <v>81.6</v>
      </c>
      <c r="M66" s="32">
        <v>81.6</v>
      </c>
      <c r="N66" s="32">
        <v>0</v>
      </c>
      <c r="O66" s="32">
        <f>J66</f>
        <v>0</v>
      </c>
      <c r="P66" s="32">
        <v>0</v>
      </c>
      <c r="Q66" s="27">
        <f t="shared" si="10"/>
        <v>81.6</v>
      </c>
      <c r="R66" s="36">
        <f t="shared" si="1"/>
        <v>1</v>
      </c>
      <c r="S66" s="46">
        <f t="shared" si="2"/>
        <v>0</v>
      </c>
      <c r="T66" s="26"/>
      <c r="U66" s="27">
        <f t="shared" si="3"/>
        <v>0</v>
      </c>
      <c r="V66" s="27">
        <f t="shared" si="4"/>
        <v>0</v>
      </c>
      <c r="W66" s="27">
        <f t="shared" si="5"/>
        <v>0</v>
      </c>
      <c r="Y66" s="2"/>
    </row>
    <row r="67" spans="1:25" s="3" customFormat="1" ht="15.75">
      <c r="A67" s="43"/>
      <c r="B67" s="51" t="s">
        <v>257</v>
      </c>
      <c r="C67" s="38" t="s">
        <v>9</v>
      </c>
      <c r="D67" s="38"/>
      <c r="E67" s="37"/>
      <c r="F67" s="37"/>
      <c r="G67" s="38"/>
      <c r="H67" s="32">
        <v>1868.8</v>
      </c>
      <c r="I67" s="32">
        <v>0</v>
      </c>
      <c r="J67" s="32">
        <v>0</v>
      </c>
      <c r="K67" s="32">
        <v>0</v>
      </c>
      <c r="L67" s="27">
        <f t="shared" si="7"/>
        <v>1868.8</v>
      </c>
      <c r="M67" s="32">
        <v>1868.8</v>
      </c>
      <c r="N67" s="32">
        <v>0</v>
      </c>
      <c r="O67" s="32">
        <f>J67</f>
        <v>0</v>
      </c>
      <c r="P67" s="32">
        <v>0</v>
      </c>
      <c r="Q67" s="27">
        <f t="shared" si="10"/>
        <v>1868.8</v>
      </c>
      <c r="R67" s="36">
        <f t="shared" si="1"/>
        <v>1</v>
      </c>
      <c r="S67" s="46">
        <f t="shared" si="2"/>
        <v>0</v>
      </c>
      <c r="T67" s="26"/>
      <c r="U67" s="27">
        <f t="shared" si="3"/>
        <v>0</v>
      </c>
      <c r="V67" s="27">
        <f t="shared" si="4"/>
        <v>0</v>
      </c>
      <c r="W67" s="27">
        <f t="shared" si="5"/>
        <v>0</v>
      </c>
      <c r="Y67" s="2"/>
    </row>
    <row r="68" spans="1:25" s="3" customFormat="1" ht="31.5">
      <c r="A68" s="43"/>
      <c r="B68" s="54" t="s">
        <v>89</v>
      </c>
      <c r="C68" s="38" t="s">
        <v>9</v>
      </c>
      <c r="D68" s="38"/>
      <c r="E68" s="37"/>
      <c r="F68" s="37"/>
      <c r="G68" s="38"/>
      <c r="H68" s="32">
        <f>H69+H70+H71</f>
        <v>12185.1</v>
      </c>
      <c r="I68" s="32">
        <f aca="true" t="shared" si="17" ref="I68:P68">I69+I70+I71</f>
        <v>0</v>
      </c>
      <c r="J68" s="32">
        <f t="shared" si="17"/>
        <v>0</v>
      </c>
      <c r="K68" s="32">
        <f t="shared" si="17"/>
        <v>0</v>
      </c>
      <c r="L68" s="27">
        <f t="shared" si="7"/>
        <v>12185.1</v>
      </c>
      <c r="M68" s="32">
        <f>M69+M70+M71</f>
        <v>12122.7</v>
      </c>
      <c r="N68" s="32">
        <f t="shared" si="17"/>
        <v>0</v>
      </c>
      <c r="O68" s="32">
        <f t="shared" si="17"/>
        <v>0</v>
      </c>
      <c r="P68" s="32">
        <f t="shared" si="17"/>
        <v>0</v>
      </c>
      <c r="Q68" s="27">
        <f t="shared" si="10"/>
        <v>12122.7</v>
      </c>
      <c r="R68" s="36">
        <f t="shared" si="1"/>
        <v>0.9949</v>
      </c>
      <c r="S68" s="46">
        <f t="shared" si="2"/>
        <v>62.4</v>
      </c>
      <c r="T68" s="26"/>
      <c r="U68" s="27">
        <f t="shared" si="3"/>
        <v>0</v>
      </c>
      <c r="V68" s="27">
        <f t="shared" si="4"/>
        <v>0</v>
      </c>
      <c r="W68" s="27">
        <f t="shared" si="5"/>
        <v>62.4</v>
      </c>
      <c r="Y68" s="2"/>
    </row>
    <row r="69" spans="1:25" s="3" customFormat="1" ht="31.5">
      <c r="A69" s="43"/>
      <c r="B69" s="34" t="s">
        <v>60</v>
      </c>
      <c r="C69" s="38" t="s">
        <v>9</v>
      </c>
      <c r="D69" s="38"/>
      <c r="E69" s="37"/>
      <c r="F69" s="37"/>
      <c r="G69" s="38"/>
      <c r="H69" s="32">
        <v>200</v>
      </c>
      <c r="I69" s="32">
        <v>0</v>
      </c>
      <c r="J69" s="32">
        <v>0</v>
      </c>
      <c r="K69" s="32">
        <v>0</v>
      </c>
      <c r="L69" s="27">
        <f t="shared" si="7"/>
        <v>200</v>
      </c>
      <c r="M69" s="32">
        <v>200</v>
      </c>
      <c r="N69" s="32">
        <v>0</v>
      </c>
      <c r="O69" s="32">
        <f>J69</f>
        <v>0</v>
      </c>
      <c r="P69" s="32">
        <v>0</v>
      </c>
      <c r="Q69" s="27">
        <f t="shared" si="10"/>
        <v>200</v>
      </c>
      <c r="R69" s="36">
        <f t="shared" si="1"/>
        <v>1</v>
      </c>
      <c r="S69" s="46">
        <f t="shared" si="2"/>
        <v>0</v>
      </c>
      <c r="T69" s="26"/>
      <c r="U69" s="27">
        <f t="shared" si="3"/>
        <v>0</v>
      </c>
      <c r="V69" s="27">
        <f t="shared" si="4"/>
        <v>0</v>
      </c>
      <c r="W69" s="27">
        <f t="shared" si="5"/>
        <v>0</v>
      </c>
      <c r="Y69" s="2"/>
    </row>
    <row r="70" spans="1:25" s="3" customFormat="1" ht="15.75">
      <c r="A70" s="43"/>
      <c r="B70" s="35" t="s">
        <v>118</v>
      </c>
      <c r="C70" s="38" t="s">
        <v>9</v>
      </c>
      <c r="D70" s="38"/>
      <c r="E70" s="37"/>
      <c r="F70" s="37"/>
      <c r="G70" s="38"/>
      <c r="H70" s="32">
        <v>11890.1</v>
      </c>
      <c r="I70" s="32">
        <v>0</v>
      </c>
      <c r="J70" s="32">
        <v>0</v>
      </c>
      <c r="K70" s="32">
        <v>0</v>
      </c>
      <c r="L70" s="27">
        <f t="shared" si="7"/>
        <v>11890.1</v>
      </c>
      <c r="M70" s="32">
        <v>11827.7</v>
      </c>
      <c r="N70" s="32">
        <v>0</v>
      </c>
      <c r="O70" s="32">
        <f>J70</f>
        <v>0</v>
      </c>
      <c r="P70" s="32">
        <v>0</v>
      </c>
      <c r="Q70" s="27">
        <f t="shared" si="10"/>
        <v>11827.7</v>
      </c>
      <c r="R70" s="36">
        <f t="shared" si="1"/>
        <v>0.9948</v>
      </c>
      <c r="S70" s="46">
        <f t="shared" si="2"/>
        <v>62.4</v>
      </c>
      <c r="T70" s="26"/>
      <c r="U70" s="27">
        <f t="shared" si="3"/>
        <v>0</v>
      </c>
      <c r="V70" s="27">
        <f t="shared" si="4"/>
        <v>0</v>
      </c>
      <c r="W70" s="27">
        <f t="shared" si="5"/>
        <v>62.4</v>
      </c>
      <c r="Y70" s="2"/>
    </row>
    <row r="71" spans="1:25" s="3" customFormat="1" ht="15.75">
      <c r="A71" s="43" t="s">
        <v>86</v>
      </c>
      <c r="B71" s="51" t="s">
        <v>257</v>
      </c>
      <c r="C71" s="38" t="s">
        <v>9</v>
      </c>
      <c r="D71" s="38">
        <v>774</v>
      </c>
      <c r="E71" s="37" t="s">
        <v>6</v>
      </c>
      <c r="F71" s="37" t="s">
        <v>111</v>
      </c>
      <c r="G71" s="38">
        <v>600</v>
      </c>
      <c r="H71" s="32">
        <v>95</v>
      </c>
      <c r="I71" s="32">
        <v>0</v>
      </c>
      <c r="J71" s="32">
        <v>0</v>
      </c>
      <c r="K71" s="32">
        <v>0</v>
      </c>
      <c r="L71" s="27">
        <f t="shared" si="7"/>
        <v>95</v>
      </c>
      <c r="M71" s="32">
        <v>95</v>
      </c>
      <c r="N71" s="32">
        <f>N72</f>
        <v>0</v>
      </c>
      <c r="O71" s="32">
        <f>J71</f>
        <v>0</v>
      </c>
      <c r="P71" s="32">
        <v>0</v>
      </c>
      <c r="Q71" s="27">
        <f t="shared" si="10"/>
        <v>95</v>
      </c>
      <c r="R71" s="36">
        <f t="shared" si="1"/>
        <v>1</v>
      </c>
      <c r="S71" s="46">
        <f t="shared" si="2"/>
        <v>0</v>
      </c>
      <c r="T71" s="26"/>
      <c r="U71" s="27">
        <f t="shared" si="3"/>
        <v>0</v>
      </c>
      <c r="V71" s="27">
        <f t="shared" si="4"/>
        <v>0</v>
      </c>
      <c r="W71" s="27">
        <f t="shared" si="5"/>
        <v>0</v>
      </c>
      <c r="Y71" s="2"/>
    </row>
    <row r="72" spans="1:25" s="3" customFormat="1" ht="31.5" customHeight="1">
      <c r="A72" s="43" t="s">
        <v>87</v>
      </c>
      <c r="B72" s="71" t="s">
        <v>258</v>
      </c>
      <c r="C72" s="26" t="s">
        <v>5</v>
      </c>
      <c r="D72" s="38">
        <v>774</v>
      </c>
      <c r="E72" s="37" t="s">
        <v>6</v>
      </c>
      <c r="F72" s="37" t="s">
        <v>112</v>
      </c>
      <c r="G72" s="38">
        <v>600</v>
      </c>
      <c r="H72" s="27">
        <f>H73+H74</f>
        <v>8693.3</v>
      </c>
      <c r="I72" s="27">
        <v>0</v>
      </c>
      <c r="J72" s="27">
        <f>J73</f>
        <v>17994.9</v>
      </c>
      <c r="K72" s="27">
        <v>0</v>
      </c>
      <c r="L72" s="27">
        <f t="shared" si="7"/>
        <v>26688.2</v>
      </c>
      <c r="M72" s="27">
        <f>M73+M74</f>
        <v>8475.5</v>
      </c>
      <c r="N72" s="27">
        <v>0</v>
      </c>
      <c r="O72" s="27">
        <f>O73</f>
        <v>17938.5</v>
      </c>
      <c r="P72" s="27">
        <v>0</v>
      </c>
      <c r="Q72" s="27">
        <f t="shared" si="10"/>
        <v>26414</v>
      </c>
      <c r="R72" s="36">
        <f t="shared" si="1"/>
        <v>0.9897</v>
      </c>
      <c r="S72" s="46">
        <f t="shared" si="2"/>
        <v>217.8</v>
      </c>
      <c r="T72" s="26"/>
      <c r="U72" s="27">
        <f t="shared" si="3"/>
        <v>56.4</v>
      </c>
      <c r="V72" s="27">
        <f t="shared" si="4"/>
        <v>0</v>
      </c>
      <c r="W72" s="27">
        <f t="shared" si="5"/>
        <v>274.2</v>
      </c>
      <c r="Y72" s="2"/>
    </row>
    <row r="73" spans="1:25" s="3" customFormat="1" ht="15.75">
      <c r="A73" s="43"/>
      <c r="B73" s="71"/>
      <c r="C73" s="26" t="s">
        <v>9</v>
      </c>
      <c r="D73" s="38"/>
      <c r="E73" s="37"/>
      <c r="F73" s="37"/>
      <c r="G73" s="38"/>
      <c r="H73" s="27">
        <f>H76</f>
        <v>8318.2</v>
      </c>
      <c r="I73" s="27">
        <f>I76</f>
        <v>0</v>
      </c>
      <c r="J73" s="27">
        <f>J76+J78</f>
        <v>17994.9</v>
      </c>
      <c r="K73" s="27">
        <f>K76</f>
        <v>0</v>
      </c>
      <c r="L73" s="27">
        <f t="shared" si="7"/>
        <v>26313.1</v>
      </c>
      <c r="M73" s="27">
        <f>M76</f>
        <v>8100.4</v>
      </c>
      <c r="N73" s="27">
        <f>N76</f>
        <v>0</v>
      </c>
      <c r="O73" s="27">
        <f>O76+O78</f>
        <v>17938.5</v>
      </c>
      <c r="P73" s="27">
        <f>P76</f>
        <v>0</v>
      </c>
      <c r="Q73" s="27">
        <f t="shared" si="10"/>
        <v>26038.9</v>
      </c>
      <c r="R73" s="36">
        <f t="shared" si="1"/>
        <v>0.9896</v>
      </c>
      <c r="S73" s="46">
        <f t="shared" si="2"/>
        <v>217.8</v>
      </c>
      <c r="T73" s="26"/>
      <c r="U73" s="27">
        <f t="shared" si="3"/>
        <v>56.4</v>
      </c>
      <c r="V73" s="27">
        <f t="shared" si="4"/>
        <v>0</v>
      </c>
      <c r="W73" s="27">
        <f t="shared" si="5"/>
        <v>274.2</v>
      </c>
      <c r="Y73" s="2"/>
    </row>
    <row r="74" spans="1:25" s="3" customFormat="1" ht="15.75">
      <c r="A74" s="43" t="s">
        <v>38</v>
      </c>
      <c r="B74" s="71"/>
      <c r="C74" s="26" t="s">
        <v>259</v>
      </c>
      <c r="D74" s="26" t="s">
        <v>5</v>
      </c>
      <c r="E74" s="26" t="s">
        <v>5</v>
      </c>
      <c r="F74" s="48" t="s">
        <v>113</v>
      </c>
      <c r="G74" s="26" t="s">
        <v>5</v>
      </c>
      <c r="H74" s="27">
        <f>H77</f>
        <v>375.1</v>
      </c>
      <c r="I74" s="27">
        <f>I77</f>
        <v>0</v>
      </c>
      <c r="J74" s="27">
        <f>J77</f>
        <v>0</v>
      </c>
      <c r="K74" s="27">
        <f>K77</f>
        <v>0</v>
      </c>
      <c r="L74" s="27">
        <f t="shared" si="7"/>
        <v>375.1</v>
      </c>
      <c r="M74" s="27">
        <f>M77</f>
        <v>375.1</v>
      </c>
      <c r="N74" s="27">
        <f>N77</f>
        <v>0</v>
      </c>
      <c r="O74" s="27">
        <f>O77</f>
        <v>0</v>
      </c>
      <c r="P74" s="27">
        <f>P77</f>
        <v>0</v>
      </c>
      <c r="Q74" s="27">
        <f t="shared" si="10"/>
        <v>375.1</v>
      </c>
      <c r="R74" s="36">
        <f t="shared" si="1"/>
        <v>1</v>
      </c>
      <c r="S74" s="46">
        <f t="shared" si="2"/>
        <v>0</v>
      </c>
      <c r="T74" s="26"/>
      <c r="U74" s="27">
        <f t="shared" si="3"/>
        <v>0</v>
      </c>
      <c r="V74" s="27">
        <f t="shared" si="4"/>
        <v>0</v>
      </c>
      <c r="W74" s="27">
        <f t="shared" si="5"/>
        <v>0</v>
      </c>
      <c r="Y74" s="2"/>
    </row>
    <row r="75" spans="1:25" s="3" customFormat="1" ht="31.5">
      <c r="A75" s="43" t="s">
        <v>39</v>
      </c>
      <c r="B75" s="50" t="s">
        <v>94</v>
      </c>
      <c r="C75" s="38" t="s">
        <v>5</v>
      </c>
      <c r="D75" s="26">
        <v>774</v>
      </c>
      <c r="E75" s="48" t="s">
        <v>207</v>
      </c>
      <c r="F75" s="48" t="s">
        <v>113</v>
      </c>
      <c r="G75" s="26">
        <v>600</v>
      </c>
      <c r="H75" s="32">
        <f>H76+H77+H78</f>
        <v>8693.3</v>
      </c>
      <c r="I75" s="32">
        <f aca="true" t="shared" si="18" ref="I75:P75">I76+I77+I78</f>
        <v>0</v>
      </c>
      <c r="J75" s="32">
        <f t="shared" si="18"/>
        <v>17994.9</v>
      </c>
      <c r="K75" s="32">
        <f t="shared" si="18"/>
        <v>0</v>
      </c>
      <c r="L75" s="27">
        <f t="shared" si="7"/>
        <v>26688.2</v>
      </c>
      <c r="M75" s="32">
        <f>M76+M77+M78</f>
        <v>8475.5</v>
      </c>
      <c r="N75" s="32">
        <f t="shared" si="18"/>
        <v>0</v>
      </c>
      <c r="O75" s="32">
        <f t="shared" si="18"/>
        <v>17938.5</v>
      </c>
      <c r="P75" s="32">
        <f t="shared" si="18"/>
        <v>0</v>
      </c>
      <c r="Q75" s="27">
        <f t="shared" si="10"/>
        <v>26414</v>
      </c>
      <c r="R75" s="36">
        <f t="shared" si="1"/>
        <v>0.9897</v>
      </c>
      <c r="S75" s="46">
        <f t="shared" si="2"/>
        <v>217.8</v>
      </c>
      <c r="T75" s="26"/>
      <c r="U75" s="27">
        <f t="shared" si="3"/>
        <v>56.4</v>
      </c>
      <c r="V75" s="27">
        <f t="shared" si="4"/>
        <v>0</v>
      </c>
      <c r="W75" s="27">
        <f t="shared" si="5"/>
        <v>274.2</v>
      </c>
      <c r="Y75" s="2"/>
    </row>
    <row r="76" spans="1:25" s="3" customFormat="1" ht="15" customHeight="1">
      <c r="A76" s="43" t="s">
        <v>90</v>
      </c>
      <c r="B76" s="77" t="s">
        <v>57</v>
      </c>
      <c r="C76" s="38" t="s">
        <v>9</v>
      </c>
      <c r="D76" s="38">
        <v>774</v>
      </c>
      <c r="E76" s="37" t="s">
        <v>207</v>
      </c>
      <c r="F76" s="37" t="s">
        <v>114</v>
      </c>
      <c r="G76" s="38">
        <v>600</v>
      </c>
      <c r="H76" s="32">
        <v>8318.2</v>
      </c>
      <c r="I76" s="32">
        <v>0</v>
      </c>
      <c r="J76" s="32">
        <v>0</v>
      </c>
      <c r="K76" s="32">
        <v>0</v>
      </c>
      <c r="L76" s="27">
        <f t="shared" si="7"/>
        <v>8318.2</v>
      </c>
      <c r="M76" s="32">
        <v>8100.4</v>
      </c>
      <c r="N76" s="32">
        <v>0</v>
      </c>
      <c r="O76" s="32">
        <f>J76</f>
        <v>0</v>
      </c>
      <c r="P76" s="32">
        <v>0</v>
      </c>
      <c r="Q76" s="27">
        <f t="shared" si="10"/>
        <v>8100.4</v>
      </c>
      <c r="R76" s="36">
        <f t="shared" si="1"/>
        <v>0.9738</v>
      </c>
      <c r="S76" s="46">
        <f t="shared" si="2"/>
        <v>217.8</v>
      </c>
      <c r="T76" s="26"/>
      <c r="U76" s="27">
        <f t="shared" si="3"/>
        <v>0</v>
      </c>
      <c r="V76" s="27">
        <f t="shared" si="4"/>
        <v>0</v>
      </c>
      <c r="W76" s="27">
        <f t="shared" si="5"/>
        <v>217.8</v>
      </c>
      <c r="Y76" s="2"/>
    </row>
    <row r="77" spans="1:25" s="3" customFormat="1" ht="15" customHeight="1">
      <c r="A77" s="43" t="s">
        <v>91</v>
      </c>
      <c r="B77" s="77"/>
      <c r="C77" s="38" t="s">
        <v>259</v>
      </c>
      <c r="D77" s="38">
        <v>774</v>
      </c>
      <c r="E77" s="37" t="s">
        <v>207</v>
      </c>
      <c r="F77" s="37" t="s">
        <v>115</v>
      </c>
      <c r="G77" s="38">
        <v>600</v>
      </c>
      <c r="H77" s="32">
        <v>375.1</v>
      </c>
      <c r="I77" s="32">
        <v>0</v>
      </c>
      <c r="J77" s="32">
        <v>0</v>
      </c>
      <c r="K77" s="32">
        <v>0</v>
      </c>
      <c r="L77" s="27">
        <f t="shared" si="7"/>
        <v>375.1</v>
      </c>
      <c r="M77" s="32">
        <v>375.1</v>
      </c>
      <c r="N77" s="32">
        <v>0</v>
      </c>
      <c r="O77" s="32">
        <f>J77</f>
        <v>0</v>
      </c>
      <c r="P77" s="32">
        <v>0</v>
      </c>
      <c r="Q77" s="27">
        <f t="shared" si="10"/>
        <v>375.1</v>
      </c>
      <c r="R77" s="36">
        <f t="shared" si="1"/>
        <v>1</v>
      </c>
      <c r="S77" s="46">
        <f t="shared" si="2"/>
        <v>0</v>
      </c>
      <c r="T77" s="26"/>
      <c r="U77" s="27">
        <f t="shared" si="3"/>
        <v>0</v>
      </c>
      <c r="V77" s="27">
        <f t="shared" si="4"/>
        <v>0</v>
      </c>
      <c r="W77" s="27">
        <f t="shared" si="5"/>
        <v>0</v>
      </c>
      <c r="Y77" s="2"/>
    </row>
    <row r="78" spans="1:25" s="3" customFormat="1" ht="15" customHeight="1">
      <c r="A78" s="43"/>
      <c r="B78" s="35" t="s">
        <v>193</v>
      </c>
      <c r="C78" s="38" t="s">
        <v>9</v>
      </c>
      <c r="D78" s="38"/>
      <c r="E78" s="37"/>
      <c r="F78" s="37"/>
      <c r="G78" s="38"/>
      <c r="H78" s="32">
        <v>0</v>
      </c>
      <c r="I78" s="32">
        <v>0</v>
      </c>
      <c r="J78" s="32">
        <v>17994.9</v>
      </c>
      <c r="K78" s="32">
        <v>0</v>
      </c>
      <c r="L78" s="27">
        <f t="shared" si="7"/>
        <v>17994.9</v>
      </c>
      <c r="M78" s="32">
        <v>0</v>
      </c>
      <c r="N78" s="32">
        <v>0</v>
      </c>
      <c r="O78" s="32">
        <v>17938.5</v>
      </c>
      <c r="P78" s="32">
        <v>0</v>
      </c>
      <c r="Q78" s="27">
        <f t="shared" si="10"/>
        <v>17938.5</v>
      </c>
      <c r="R78" s="36">
        <f t="shared" si="1"/>
        <v>0.9969</v>
      </c>
      <c r="S78" s="46">
        <f t="shared" si="2"/>
        <v>0</v>
      </c>
      <c r="T78" s="26"/>
      <c r="U78" s="27">
        <f t="shared" si="3"/>
        <v>56.4</v>
      </c>
      <c r="V78" s="27">
        <f t="shared" si="4"/>
        <v>0</v>
      </c>
      <c r="W78" s="27">
        <f t="shared" si="5"/>
        <v>56.4</v>
      </c>
      <c r="Y78" s="2"/>
    </row>
    <row r="79" spans="1:25" s="3" customFormat="1" ht="15.75">
      <c r="A79" s="43" t="s">
        <v>227</v>
      </c>
      <c r="B79" s="71" t="s">
        <v>260</v>
      </c>
      <c r="C79" s="26" t="s">
        <v>5</v>
      </c>
      <c r="D79" s="38">
        <v>774</v>
      </c>
      <c r="E79" s="37" t="s">
        <v>207</v>
      </c>
      <c r="F79" s="37" t="s">
        <v>223</v>
      </c>
      <c r="G79" s="38">
        <v>600</v>
      </c>
      <c r="H79" s="27">
        <f>H80+H81</f>
        <v>951.5</v>
      </c>
      <c r="I79" s="27">
        <f>I80+I81</f>
        <v>0</v>
      </c>
      <c r="J79" s="27">
        <f>J80+J81</f>
        <v>69319.3</v>
      </c>
      <c r="K79" s="27">
        <f>K80+K81</f>
        <v>0</v>
      </c>
      <c r="L79" s="27">
        <f t="shared" si="7"/>
        <v>70270.8</v>
      </c>
      <c r="M79" s="27">
        <f>M80+M81</f>
        <v>950.7</v>
      </c>
      <c r="N79" s="27">
        <f>N80+N81</f>
        <v>0</v>
      </c>
      <c r="O79" s="27">
        <f>O80+O81</f>
        <v>68291.7</v>
      </c>
      <c r="P79" s="27">
        <f>P80+P81</f>
        <v>0</v>
      </c>
      <c r="Q79" s="27">
        <f t="shared" si="10"/>
        <v>69242.4</v>
      </c>
      <c r="R79" s="36">
        <f t="shared" si="1"/>
        <v>0.9854</v>
      </c>
      <c r="S79" s="46">
        <f t="shared" si="2"/>
        <v>0.8</v>
      </c>
      <c r="T79" s="26"/>
      <c r="U79" s="27">
        <f t="shared" si="3"/>
        <v>1027.6</v>
      </c>
      <c r="V79" s="27">
        <f t="shared" si="4"/>
        <v>0</v>
      </c>
      <c r="W79" s="27">
        <f t="shared" si="5"/>
        <v>1028.4</v>
      </c>
      <c r="Y79" s="2"/>
    </row>
    <row r="80" spans="1:25" s="3" customFormat="1" ht="15.75">
      <c r="A80" s="43" t="s">
        <v>40</v>
      </c>
      <c r="B80" s="71"/>
      <c r="C80" s="26" t="s">
        <v>9</v>
      </c>
      <c r="D80" s="38">
        <v>774</v>
      </c>
      <c r="E80" s="37" t="s">
        <v>207</v>
      </c>
      <c r="F80" s="37" t="s">
        <v>116</v>
      </c>
      <c r="G80" s="38">
        <v>600</v>
      </c>
      <c r="H80" s="27">
        <f>H82+H93</f>
        <v>951.5</v>
      </c>
      <c r="I80" s="27">
        <f>I82+I93</f>
        <v>0</v>
      </c>
      <c r="J80" s="27">
        <f>J82+J93</f>
        <v>69319.3</v>
      </c>
      <c r="K80" s="27">
        <f>K82+K93</f>
        <v>0</v>
      </c>
      <c r="L80" s="27">
        <f t="shared" si="7"/>
        <v>70270.8</v>
      </c>
      <c r="M80" s="27">
        <f>M82+M93</f>
        <v>950.7</v>
      </c>
      <c r="N80" s="27">
        <f>N82+N93</f>
        <v>0</v>
      </c>
      <c r="O80" s="27">
        <f>O82+O93</f>
        <v>68291.7</v>
      </c>
      <c r="P80" s="27">
        <f>P82+P93</f>
        <v>0</v>
      </c>
      <c r="Q80" s="27">
        <f t="shared" si="10"/>
        <v>69242.4</v>
      </c>
      <c r="R80" s="36">
        <f t="shared" si="1"/>
        <v>0.9854</v>
      </c>
      <c r="S80" s="46">
        <f t="shared" si="2"/>
        <v>0.8</v>
      </c>
      <c r="T80" s="26"/>
      <c r="U80" s="27">
        <f t="shared" si="3"/>
        <v>1027.6</v>
      </c>
      <c r="V80" s="27">
        <f t="shared" si="4"/>
        <v>0</v>
      </c>
      <c r="W80" s="27">
        <f t="shared" si="5"/>
        <v>1028.4</v>
      </c>
      <c r="Y80" s="2"/>
    </row>
    <row r="81" spans="1:25" s="3" customFormat="1" ht="31.5" hidden="1">
      <c r="A81" s="43" t="s">
        <v>92</v>
      </c>
      <c r="B81" s="71"/>
      <c r="C81" s="26" t="s">
        <v>35</v>
      </c>
      <c r="D81" s="38">
        <v>774</v>
      </c>
      <c r="E81" s="37" t="s">
        <v>207</v>
      </c>
      <c r="F81" s="37" t="s">
        <v>117</v>
      </c>
      <c r="G81" s="38">
        <v>600</v>
      </c>
      <c r="H81" s="27">
        <f>H95</f>
        <v>0</v>
      </c>
      <c r="I81" s="27">
        <f aca="true" t="shared" si="19" ref="I81:P81">I95</f>
        <v>0</v>
      </c>
      <c r="J81" s="27">
        <f t="shared" si="19"/>
        <v>0</v>
      </c>
      <c r="K81" s="27">
        <f t="shared" si="19"/>
        <v>0</v>
      </c>
      <c r="L81" s="27">
        <f t="shared" si="7"/>
        <v>0</v>
      </c>
      <c r="M81" s="27">
        <f t="shared" si="19"/>
        <v>0</v>
      </c>
      <c r="N81" s="27">
        <f t="shared" si="19"/>
        <v>0</v>
      </c>
      <c r="O81" s="27">
        <f t="shared" si="19"/>
        <v>0</v>
      </c>
      <c r="P81" s="27">
        <f t="shared" si="19"/>
        <v>0</v>
      </c>
      <c r="Q81" s="27">
        <f t="shared" si="10"/>
        <v>0</v>
      </c>
      <c r="R81" s="36" t="e">
        <f t="shared" si="1"/>
        <v>#DIV/0!</v>
      </c>
      <c r="S81" s="46">
        <f t="shared" si="2"/>
        <v>0</v>
      </c>
      <c r="T81" s="26"/>
      <c r="U81" s="27">
        <f t="shared" si="3"/>
        <v>0</v>
      </c>
      <c r="V81" s="27">
        <f t="shared" si="4"/>
        <v>0</v>
      </c>
      <c r="W81" s="27">
        <f t="shared" si="5"/>
        <v>0</v>
      </c>
      <c r="Y81" s="2"/>
    </row>
    <row r="82" spans="1:25" s="3" customFormat="1" ht="31.5">
      <c r="A82" s="43" t="s">
        <v>93</v>
      </c>
      <c r="B82" s="34" t="s">
        <v>95</v>
      </c>
      <c r="C82" s="38" t="s">
        <v>9</v>
      </c>
      <c r="D82" s="38">
        <v>774</v>
      </c>
      <c r="E82" s="37" t="s">
        <v>207</v>
      </c>
      <c r="F82" s="37" t="s">
        <v>119</v>
      </c>
      <c r="G82" s="38">
        <v>600</v>
      </c>
      <c r="H82" s="32">
        <f>SUM(H83)</f>
        <v>376.5</v>
      </c>
      <c r="I82" s="32">
        <f>SUM(I83)</f>
        <v>0</v>
      </c>
      <c r="J82" s="32">
        <f>J83+J84+J85+J86+J90+J91+J92+J87+J88+J89</f>
        <v>69319.3</v>
      </c>
      <c r="K82" s="32">
        <v>0</v>
      </c>
      <c r="L82" s="27">
        <f t="shared" si="7"/>
        <v>69695.8</v>
      </c>
      <c r="M82" s="32">
        <f>M83+M84+M85+M86+M90+M91+M92+M87+M88+M89</f>
        <v>375.7</v>
      </c>
      <c r="N82" s="32">
        <f>N83+N84+N85+N86+N90+N91+N92+N87+N88+N89</f>
        <v>0</v>
      </c>
      <c r="O82" s="32">
        <f>O83+O84+O85+O86+O90+O91+O92+O87+O88+O89</f>
        <v>68291.7</v>
      </c>
      <c r="P82" s="32">
        <v>0</v>
      </c>
      <c r="Q82" s="27">
        <f>M82+N82+O82+P82</f>
        <v>68667.4</v>
      </c>
      <c r="R82" s="36">
        <f t="shared" si="1"/>
        <v>0.9852</v>
      </c>
      <c r="S82" s="46">
        <f t="shared" si="2"/>
        <v>0.8</v>
      </c>
      <c r="T82" s="26"/>
      <c r="U82" s="27">
        <f t="shared" si="3"/>
        <v>1027.6</v>
      </c>
      <c r="V82" s="27">
        <f t="shared" si="4"/>
        <v>0</v>
      </c>
      <c r="W82" s="27">
        <f t="shared" si="5"/>
        <v>1028.4</v>
      </c>
      <c r="Y82" s="2"/>
    </row>
    <row r="83" spans="1:25" s="3" customFormat="1" ht="31.5">
      <c r="A83" s="43" t="s">
        <v>41</v>
      </c>
      <c r="B83" s="35" t="s">
        <v>124</v>
      </c>
      <c r="C83" s="38" t="s">
        <v>9</v>
      </c>
      <c r="D83" s="26" t="s">
        <v>5</v>
      </c>
      <c r="E83" s="26" t="s">
        <v>5</v>
      </c>
      <c r="F83" s="48" t="s">
        <v>120</v>
      </c>
      <c r="G83" s="26" t="s">
        <v>5</v>
      </c>
      <c r="H83" s="32">
        <v>376.5</v>
      </c>
      <c r="I83" s="32">
        <v>0</v>
      </c>
      <c r="J83" s="32">
        <v>0</v>
      </c>
      <c r="K83" s="32">
        <v>0</v>
      </c>
      <c r="L83" s="27">
        <f t="shared" si="7"/>
        <v>376.5</v>
      </c>
      <c r="M83" s="32">
        <v>375.7</v>
      </c>
      <c r="N83" s="32">
        <v>0</v>
      </c>
      <c r="O83" s="32">
        <f>J83</f>
        <v>0</v>
      </c>
      <c r="P83" s="32">
        <v>0</v>
      </c>
      <c r="Q83" s="27">
        <f t="shared" si="10"/>
        <v>375.7</v>
      </c>
      <c r="R83" s="36">
        <f t="shared" si="1"/>
        <v>0.9979</v>
      </c>
      <c r="S83" s="46">
        <f t="shared" si="2"/>
        <v>0.8</v>
      </c>
      <c r="T83" s="26"/>
      <c r="U83" s="27">
        <f t="shared" si="3"/>
        <v>0</v>
      </c>
      <c r="V83" s="27">
        <f t="shared" si="4"/>
        <v>0</v>
      </c>
      <c r="W83" s="27">
        <f t="shared" si="5"/>
        <v>0.8</v>
      </c>
      <c r="Y83" s="2"/>
    </row>
    <row r="84" spans="1:25" s="3" customFormat="1" ht="17.25" customHeight="1">
      <c r="A84" s="43"/>
      <c r="B84" s="35" t="s">
        <v>195</v>
      </c>
      <c r="C84" s="38" t="s">
        <v>9</v>
      </c>
      <c r="D84" s="26"/>
      <c r="E84" s="26"/>
      <c r="F84" s="48"/>
      <c r="G84" s="26"/>
      <c r="H84" s="32">
        <v>0</v>
      </c>
      <c r="I84" s="32">
        <v>0</v>
      </c>
      <c r="J84" s="32">
        <v>22022.3</v>
      </c>
      <c r="K84" s="32">
        <v>0</v>
      </c>
      <c r="L84" s="27">
        <f t="shared" si="7"/>
        <v>22022.3</v>
      </c>
      <c r="M84" s="32">
        <v>0</v>
      </c>
      <c r="N84" s="32">
        <v>0</v>
      </c>
      <c r="O84" s="32">
        <v>22009.7</v>
      </c>
      <c r="P84" s="32">
        <v>0</v>
      </c>
      <c r="Q84" s="27">
        <f t="shared" si="10"/>
        <v>22009.7</v>
      </c>
      <c r="R84" s="36">
        <f t="shared" si="1"/>
        <v>0.9994</v>
      </c>
      <c r="S84" s="46">
        <f t="shared" si="2"/>
        <v>0</v>
      </c>
      <c r="T84" s="26"/>
      <c r="U84" s="27">
        <f t="shared" si="3"/>
        <v>12.6</v>
      </c>
      <c r="V84" s="27">
        <f t="shared" si="4"/>
        <v>0</v>
      </c>
      <c r="W84" s="27">
        <f t="shared" si="5"/>
        <v>12.6</v>
      </c>
      <c r="Y84" s="2"/>
    </row>
    <row r="85" spans="1:25" s="3" customFormat="1" ht="47.25">
      <c r="A85" s="43"/>
      <c r="B85" s="35" t="s">
        <v>196</v>
      </c>
      <c r="C85" s="38" t="s">
        <v>9</v>
      </c>
      <c r="D85" s="26"/>
      <c r="E85" s="26"/>
      <c r="F85" s="48"/>
      <c r="G85" s="26"/>
      <c r="H85" s="32">
        <v>0</v>
      </c>
      <c r="I85" s="32">
        <v>0</v>
      </c>
      <c r="J85" s="32">
        <v>609</v>
      </c>
      <c r="K85" s="32">
        <v>0</v>
      </c>
      <c r="L85" s="27">
        <f t="shared" si="7"/>
        <v>609</v>
      </c>
      <c r="M85" s="32">
        <v>0</v>
      </c>
      <c r="N85" s="32">
        <v>0</v>
      </c>
      <c r="O85" s="32">
        <v>598.6</v>
      </c>
      <c r="P85" s="32">
        <v>0</v>
      </c>
      <c r="Q85" s="27">
        <f t="shared" si="10"/>
        <v>598.6</v>
      </c>
      <c r="R85" s="36">
        <f t="shared" si="1"/>
        <v>0.9829</v>
      </c>
      <c r="S85" s="46">
        <f t="shared" si="2"/>
        <v>0</v>
      </c>
      <c r="T85" s="26"/>
      <c r="U85" s="27">
        <f t="shared" si="3"/>
        <v>10.4</v>
      </c>
      <c r="V85" s="27">
        <f t="shared" si="4"/>
        <v>0</v>
      </c>
      <c r="W85" s="27">
        <f t="shared" si="5"/>
        <v>10.4</v>
      </c>
      <c r="Y85" s="2"/>
    </row>
    <row r="86" spans="1:25" s="3" customFormat="1" ht="63">
      <c r="A86" s="43"/>
      <c r="B86" s="34" t="s">
        <v>197</v>
      </c>
      <c r="C86" s="38" t="s">
        <v>9</v>
      </c>
      <c r="D86" s="26"/>
      <c r="E86" s="26"/>
      <c r="F86" s="48"/>
      <c r="G86" s="26"/>
      <c r="H86" s="32">
        <v>0</v>
      </c>
      <c r="I86" s="32">
        <v>0</v>
      </c>
      <c r="J86" s="32">
        <v>31368.9</v>
      </c>
      <c r="K86" s="32">
        <v>0</v>
      </c>
      <c r="L86" s="27">
        <f t="shared" si="7"/>
        <v>31368.9</v>
      </c>
      <c r="M86" s="32">
        <v>0</v>
      </c>
      <c r="N86" s="32">
        <v>0</v>
      </c>
      <c r="O86" s="32">
        <v>31366.3</v>
      </c>
      <c r="P86" s="32">
        <v>0</v>
      </c>
      <c r="Q86" s="27">
        <f t="shared" si="10"/>
        <v>31366.3</v>
      </c>
      <c r="R86" s="36">
        <f aca="true" t="shared" si="20" ref="R86:R121">Q86/L86*100%</f>
        <v>0.9999</v>
      </c>
      <c r="S86" s="46">
        <f aca="true" t="shared" si="21" ref="S86:S121">H86-M86</f>
        <v>0</v>
      </c>
      <c r="T86" s="26"/>
      <c r="U86" s="27">
        <f aca="true" t="shared" si="22" ref="U86:U121">J86-O86</f>
        <v>2.6</v>
      </c>
      <c r="V86" s="27">
        <f aca="true" t="shared" si="23" ref="V86:V121">P86-K86</f>
        <v>0</v>
      </c>
      <c r="W86" s="27">
        <f aca="true" t="shared" si="24" ref="W86:W121">L86-Q86</f>
        <v>2.6</v>
      </c>
      <c r="Y86" s="2"/>
    </row>
    <row r="87" spans="1:25" s="3" customFormat="1" ht="15.75" hidden="1">
      <c r="A87" s="43"/>
      <c r="B87" s="34"/>
      <c r="C87" s="38" t="s">
        <v>9</v>
      </c>
      <c r="D87" s="26"/>
      <c r="E87" s="26"/>
      <c r="F87" s="48"/>
      <c r="G87" s="26"/>
      <c r="H87" s="32">
        <v>0</v>
      </c>
      <c r="I87" s="32">
        <v>0</v>
      </c>
      <c r="J87" s="32"/>
      <c r="K87" s="32">
        <v>0</v>
      </c>
      <c r="L87" s="27">
        <f aca="true" t="shared" si="25" ref="L87:L121">H87+I87+J87+K87</f>
        <v>0</v>
      </c>
      <c r="M87" s="32">
        <v>0</v>
      </c>
      <c r="N87" s="32">
        <v>0</v>
      </c>
      <c r="O87" s="32"/>
      <c r="P87" s="32">
        <v>0</v>
      </c>
      <c r="Q87" s="27">
        <f aca="true" t="shared" si="26" ref="Q87:Q121">M87+N87+O87+P87</f>
        <v>0</v>
      </c>
      <c r="R87" s="36" t="e">
        <f t="shared" si="20"/>
        <v>#DIV/0!</v>
      </c>
      <c r="S87" s="46">
        <f t="shared" si="21"/>
        <v>0</v>
      </c>
      <c r="T87" s="26"/>
      <c r="U87" s="27">
        <f t="shared" si="22"/>
        <v>0</v>
      </c>
      <c r="V87" s="27">
        <f t="shared" si="23"/>
        <v>0</v>
      </c>
      <c r="W87" s="27">
        <f t="shared" si="24"/>
        <v>0</v>
      </c>
      <c r="Y87" s="2"/>
    </row>
    <row r="88" spans="1:25" s="3" customFormat="1" ht="15.75" hidden="1">
      <c r="A88" s="43"/>
      <c r="B88" s="34"/>
      <c r="C88" s="38" t="s">
        <v>9</v>
      </c>
      <c r="D88" s="26"/>
      <c r="E88" s="26"/>
      <c r="F88" s="48"/>
      <c r="G88" s="26"/>
      <c r="H88" s="32">
        <v>0</v>
      </c>
      <c r="I88" s="32">
        <v>0</v>
      </c>
      <c r="J88" s="32"/>
      <c r="K88" s="32">
        <v>0</v>
      </c>
      <c r="L88" s="27">
        <f t="shared" si="25"/>
        <v>0</v>
      </c>
      <c r="M88" s="32">
        <v>0</v>
      </c>
      <c r="N88" s="32">
        <v>0</v>
      </c>
      <c r="O88" s="32"/>
      <c r="P88" s="32">
        <v>0</v>
      </c>
      <c r="Q88" s="27">
        <f t="shared" si="26"/>
        <v>0</v>
      </c>
      <c r="R88" s="36" t="e">
        <f t="shared" si="20"/>
        <v>#DIV/0!</v>
      </c>
      <c r="S88" s="46">
        <f t="shared" si="21"/>
        <v>0</v>
      </c>
      <c r="T88" s="26"/>
      <c r="U88" s="27">
        <f t="shared" si="22"/>
        <v>0</v>
      </c>
      <c r="V88" s="27">
        <f t="shared" si="23"/>
        <v>0</v>
      </c>
      <c r="W88" s="27">
        <f t="shared" si="24"/>
        <v>0</v>
      </c>
      <c r="Y88" s="2"/>
    </row>
    <row r="89" spans="1:25" s="3" customFormat="1" ht="15.75" hidden="1">
      <c r="A89" s="43"/>
      <c r="B89" s="34"/>
      <c r="C89" s="38" t="s">
        <v>9</v>
      </c>
      <c r="D89" s="26"/>
      <c r="E89" s="26"/>
      <c r="F89" s="48"/>
      <c r="G89" s="26"/>
      <c r="H89" s="32">
        <v>0</v>
      </c>
      <c r="I89" s="32">
        <v>0</v>
      </c>
      <c r="J89" s="32"/>
      <c r="K89" s="32">
        <v>0</v>
      </c>
      <c r="L89" s="27">
        <f t="shared" si="25"/>
        <v>0</v>
      </c>
      <c r="M89" s="32">
        <v>0</v>
      </c>
      <c r="N89" s="32">
        <v>0</v>
      </c>
      <c r="O89" s="32"/>
      <c r="P89" s="32">
        <v>0</v>
      </c>
      <c r="Q89" s="27">
        <f t="shared" si="26"/>
        <v>0</v>
      </c>
      <c r="R89" s="36" t="e">
        <f t="shared" si="20"/>
        <v>#DIV/0!</v>
      </c>
      <c r="S89" s="46">
        <f t="shared" si="21"/>
        <v>0</v>
      </c>
      <c r="T89" s="26"/>
      <c r="U89" s="27">
        <f t="shared" si="22"/>
        <v>0</v>
      </c>
      <c r="V89" s="27">
        <f t="shared" si="23"/>
        <v>0</v>
      </c>
      <c r="W89" s="27">
        <f t="shared" si="24"/>
        <v>0</v>
      </c>
      <c r="Y89" s="2"/>
    </row>
    <row r="90" spans="1:25" s="3" customFormat="1" ht="31.5">
      <c r="A90" s="43"/>
      <c r="B90" s="35" t="s">
        <v>261</v>
      </c>
      <c r="C90" s="38" t="s">
        <v>9</v>
      </c>
      <c r="D90" s="26"/>
      <c r="E90" s="26"/>
      <c r="F90" s="48"/>
      <c r="G90" s="26"/>
      <c r="H90" s="32">
        <v>0</v>
      </c>
      <c r="I90" s="32">
        <v>0</v>
      </c>
      <c r="J90" s="32">
        <v>549.8</v>
      </c>
      <c r="K90" s="32">
        <v>0</v>
      </c>
      <c r="L90" s="27">
        <f t="shared" si="25"/>
        <v>549.8</v>
      </c>
      <c r="M90" s="32">
        <v>0</v>
      </c>
      <c r="N90" s="32">
        <v>0</v>
      </c>
      <c r="O90" s="32">
        <v>547.8</v>
      </c>
      <c r="P90" s="32">
        <v>0</v>
      </c>
      <c r="Q90" s="27">
        <f t="shared" si="26"/>
        <v>547.8</v>
      </c>
      <c r="R90" s="36">
        <f t="shared" si="20"/>
        <v>0.9964</v>
      </c>
      <c r="S90" s="46">
        <f t="shared" si="21"/>
        <v>0</v>
      </c>
      <c r="T90" s="26"/>
      <c r="U90" s="27">
        <f t="shared" si="22"/>
        <v>2</v>
      </c>
      <c r="V90" s="27">
        <f t="shared" si="23"/>
        <v>0</v>
      </c>
      <c r="W90" s="27">
        <f t="shared" si="24"/>
        <v>2</v>
      </c>
      <c r="Y90" s="2"/>
    </row>
    <row r="91" spans="1:25" s="3" customFormat="1" ht="15.75">
      <c r="A91" s="43"/>
      <c r="B91" s="35" t="s">
        <v>224</v>
      </c>
      <c r="C91" s="38" t="s">
        <v>9</v>
      </c>
      <c r="D91" s="26"/>
      <c r="E91" s="26"/>
      <c r="F91" s="48"/>
      <c r="G91" s="26"/>
      <c r="H91" s="32">
        <v>0</v>
      </c>
      <c r="I91" s="32">
        <v>0</v>
      </c>
      <c r="J91" s="32">
        <v>769.3</v>
      </c>
      <c r="K91" s="32">
        <v>0</v>
      </c>
      <c r="L91" s="27">
        <f t="shared" si="25"/>
        <v>769.3</v>
      </c>
      <c r="M91" s="32">
        <v>0</v>
      </c>
      <c r="N91" s="32">
        <v>0</v>
      </c>
      <c r="O91" s="32">
        <v>769.3</v>
      </c>
      <c r="P91" s="32">
        <v>0</v>
      </c>
      <c r="Q91" s="27">
        <f t="shared" si="26"/>
        <v>769.3</v>
      </c>
      <c r="R91" s="36">
        <f t="shared" si="20"/>
        <v>1</v>
      </c>
      <c r="S91" s="46">
        <f t="shared" si="21"/>
        <v>0</v>
      </c>
      <c r="T91" s="26"/>
      <c r="U91" s="27">
        <f t="shared" si="22"/>
        <v>0</v>
      </c>
      <c r="V91" s="27">
        <f t="shared" si="23"/>
        <v>0</v>
      </c>
      <c r="W91" s="27">
        <f t="shared" si="24"/>
        <v>0</v>
      </c>
      <c r="Y91" s="2"/>
    </row>
    <row r="92" spans="1:25" s="3" customFormat="1" ht="31.5">
      <c r="A92" s="43"/>
      <c r="B92" s="35" t="s">
        <v>262</v>
      </c>
      <c r="C92" s="38" t="s">
        <v>9</v>
      </c>
      <c r="D92" s="26"/>
      <c r="E92" s="26"/>
      <c r="F92" s="48"/>
      <c r="G92" s="26"/>
      <c r="H92" s="32">
        <v>0</v>
      </c>
      <c r="I92" s="32">
        <v>0</v>
      </c>
      <c r="J92" s="32">
        <v>14000</v>
      </c>
      <c r="K92" s="32">
        <v>0</v>
      </c>
      <c r="L92" s="27">
        <f t="shared" si="25"/>
        <v>14000</v>
      </c>
      <c r="M92" s="32">
        <v>0</v>
      </c>
      <c r="N92" s="32">
        <v>0</v>
      </c>
      <c r="O92" s="32">
        <v>13000</v>
      </c>
      <c r="P92" s="32">
        <v>0</v>
      </c>
      <c r="Q92" s="27">
        <f t="shared" si="26"/>
        <v>13000</v>
      </c>
      <c r="R92" s="36">
        <f t="shared" si="20"/>
        <v>0.9286</v>
      </c>
      <c r="S92" s="46">
        <f t="shared" si="21"/>
        <v>0</v>
      </c>
      <c r="T92" s="26"/>
      <c r="U92" s="27">
        <f t="shared" si="22"/>
        <v>1000</v>
      </c>
      <c r="V92" s="27">
        <f t="shared" si="23"/>
        <v>0</v>
      </c>
      <c r="W92" s="27">
        <f t="shared" si="24"/>
        <v>1000</v>
      </c>
      <c r="Y92" s="2"/>
    </row>
    <row r="93" spans="1:25" s="3" customFormat="1" ht="15.75">
      <c r="A93" s="43" t="s">
        <v>42</v>
      </c>
      <c r="B93" s="55" t="s">
        <v>126</v>
      </c>
      <c r="C93" s="38" t="s">
        <v>209</v>
      </c>
      <c r="D93" s="26">
        <v>774</v>
      </c>
      <c r="E93" s="48" t="s">
        <v>30</v>
      </c>
      <c r="F93" s="48" t="s">
        <v>120</v>
      </c>
      <c r="G93" s="26">
        <v>600</v>
      </c>
      <c r="H93" s="32">
        <f>SUM(H94:H94)</f>
        <v>575</v>
      </c>
      <c r="I93" s="32">
        <v>0</v>
      </c>
      <c r="J93" s="32">
        <v>0</v>
      </c>
      <c r="K93" s="32">
        <v>0</v>
      </c>
      <c r="L93" s="27">
        <f t="shared" si="25"/>
        <v>575</v>
      </c>
      <c r="M93" s="32">
        <v>575</v>
      </c>
      <c r="N93" s="32">
        <v>0</v>
      </c>
      <c r="O93" s="32">
        <f>J93</f>
        <v>0</v>
      </c>
      <c r="P93" s="32">
        <v>0</v>
      </c>
      <c r="Q93" s="27">
        <f t="shared" si="26"/>
        <v>575</v>
      </c>
      <c r="R93" s="36">
        <f t="shared" si="20"/>
        <v>1</v>
      </c>
      <c r="S93" s="46">
        <f t="shared" si="21"/>
        <v>0</v>
      </c>
      <c r="T93" s="26"/>
      <c r="U93" s="27">
        <f t="shared" si="22"/>
        <v>0</v>
      </c>
      <c r="V93" s="27">
        <f t="shared" si="23"/>
        <v>0</v>
      </c>
      <c r="W93" s="27">
        <f t="shared" si="24"/>
        <v>0</v>
      </c>
      <c r="Y93" s="2"/>
    </row>
    <row r="94" spans="1:25" s="3" customFormat="1" ht="15.75">
      <c r="A94" s="43" t="s">
        <v>43</v>
      </c>
      <c r="B94" s="35" t="s">
        <v>118</v>
      </c>
      <c r="C94" s="38" t="s">
        <v>9</v>
      </c>
      <c r="D94" s="26">
        <v>757</v>
      </c>
      <c r="E94" s="48" t="s">
        <v>30</v>
      </c>
      <c r="F94" s="48" t="s">
        <v>120</v>
      </c>
      <c r="G94" s="26">
        <v>600</v>
      </c>
      <c r="H94" s="32">
        <v>575</v>
      </c>
      <c r="I94" s="32">
        <v>0</v>
      </c>
      <c r="J94" s="32">
        <v>0</v>
      </c>
      <c r="K94" s="32">
        <v>0</v>
      </c>
      <c r="L94" s="27">
        <f t="shared" si="25"/>
        <v>575</v>
      </c>
      <c r="M94" s="32">
        <v>575</v>
      </c>
      <c r="N94" s="32">
        <v>0</v>
      </c>
      <c r="O94" s="32">
        <f>J94</f>
        <v>0</v>
      </c>
      <c r="P94" s="32">
        <v>0</v>
      </c>
      <c r="Q94" s="27">
        <f t="shared" si="26"/>
        <v>575</v>
      </c>
      <c r="R94" s="36">
        <f t="shared" si="20"/>
        <v>1</v>
      </c>
      <c r="S94" s="46">
        <f t="shared" si="21"/>
        <v>0</v>
      </c>
      <c r="T94" s="26"/>
      <c r="U94" s="27">
        <f t="shared" si="22"/>
        <v>0</v>
      </c>
      <c r="V94" s="27">
        <f t="shared" si="23"/>
        <v>0</v>
      </c>
      <c r="W94" s="27">
        <f t="shared" si="24"/>
        <v>0</v>
      </c>
      <c r="Y94" s="2"/>
    </row>
    <row r="95" spans="1:25" s="3" customFormat="1" ht="15.75" hidden="1">
      <c r="A95" s="43" t="s">
        <v>194</v>
      </c>
      <c r="B95" s="35"/>
      <c r="C95" s="38"/>
      <c r="D95" s="38">
        <v>774</v>
      </c>
      <c r="E95" s="37" t="s">
        <v>30</v>
      </c>
      <c r="F95" s="37" t="s">
        <v>121</v>
      </c>
      <c r="G95" s="38">
        <v>600</v>
      </c>
      <c r="H95" s="32"/>
      <c r="I95" s="32">
        <v>0</v>
      </c>
      <c r="J95" s="32">
        <v>0</v>
      </c>
      <c r="K95" s="32">
        <v>0</v>
      </c>
      <c r="L95" s="27">
        <f t="shared" si="25"/>
        <v>0</v>
      </c>
      <c r="M95" s="32">
        <f>H95</f>
        <v>0</v>
      </c>
      <c r="N95" s="32">
        <v>0</v>
      </c>
      <c r="O95" s="32">
        <f>J95</f>
        <v>0</v>
      </c>
      <c r="P95" s="32">
        <v>0</v>
      </c>
      <c r="Q95" s="27">
        <f t="shared" si="26"/>
        <v>0</v>
      </c>
      <c r="R95" s="36" t="e">
        <f t="shared" si="20"/>
        <v>#DIV/0!</v>
      </c>
      <c r="S95" s="46">
        <f t="shared" si="21"/>
        <v>0</v>
      </c>
      <c r="T95" s="26"/>
      <c r="U95" s="27">
        <f t="shared" si="22"/>
        <v>0</v>
      </c>
      <c r="V95" s="27">
        <f t="shared" si="23"/>
        <v>0</v>
      </c>
      <c r="W95" s="27">
        <f t="shared" si="24"/>
        <v>0</v>
      </c>
      <c r="Y95" s="2"/>
    </row>
    <row r="96" spans="1:25" s="3" customFormat="1" ht="15.75" customHeight="1" hidden="1">
      <c r="A96" s="43" t="s">
        <v>211</v>
      </c>
      <c r="B96" s="35"/>
      <c r="C96" s="38"/>
      <c r="D96" s="38">
        <v>774</v>
      </c>
      <c r="E96" s="37" t="s">
        <v>30</v>
      </c>
      <c r="F96" s="37" t="s">
        <v>142</v>
      </c>
      <c r="G96" s="38">
        <v>600</v>
      </c>
      <c r="H96" s="32"/>
      <c r="I96" s="32">
        <v>0</v>
      </c>
      <c r="J96" s="32">
        <v>0</v>
      </c>
      <c r="K96" s="32">
        <v>0</v>
      </c>
      <c r="L96" s="27">
        <f t="shared" si="25"/>
        <v>0</v>
      </c>
      <c r="M96" s="32">
        <f>H96</f>
        <v>0</v>
      </c>
      <c r="N96" s="32">
        <v>0</v>
      </c>
      <c r="O96" s="32">
        <f>J96</f>
        <v>0</v>
      </c>
      <c r="P96" s="32">
        <v>0</v>
      </c>
      <c r="Q96" s="27">
        <f t="shared" si="26"/>
        <v>0</v>
      </c>
      <c r="R96" s="36" t="e">
        <f t="shared" si="20"/>
        <v>#DIV/0!</v>
      </c>
      <c r="S96" s="46">
        <f t="shared" si="21"/>
        <v>0</v>
      </c>
      <c r="T96" s="26"/>
      <c r="U96" s="27">
        <f t="shared" si="22"/>
        <v>0</v>
      </c>
      <c r="V96" s="27">
        <f t="shared" si="23"/>
        <v>0</v>
      </c>
      <c r="W96" s="27">
        <f t="shared" si="24"/>
        <v>0</v>
      </c>
      <c r="Y96" s="2"/>
    </row>
    <row r="97" spans="1:25" s="3" customFormat="1" ht="15" customHeight="1">
      <c r="A97" s="43" t="s">
        <v>212</v>
      </c>
      <c r="B97" s="71" t="s">
        <v>263</v>
      </c>
      <c r="C97" s="26" t="s">
        <v>5</v>
      </c>
      <c r="D97" s="38">
        <v>757</v>
      </c>
      <c r="E97" s="37" t="s">
        <v>30</v>
      </c>
      <c r="F97" s="37" t="s">
        <v>142</v>
      </c>
      <c r="G97" s="38">
        <v>600</v>
      </c>
      <c r="H97" s="27">
        <f>H98+H99+H100</f>
        <v>170555.8</v>
      </c>
      <c r="I97" s="27">
        <f>I98+I99+I100</f>
        <v>0</v>
      </c>
      <c r="J97" s="27">
        <f>J98+J99+J100</f>
        <v>160740.3</v>
      </c>
      <c r="K97" s="27">
        <f>K98+K99+K100</f>
        <v>162673.1</v>
      </c>
      <c r="L97" s="27">
        <f>H97+I97+J97+K97</f>
        <v>493969.2</v>
      </c>
      <c r="M97" s="27">
        <f>M98+M99+M100</f>
        <v>154005.3</v>
      </c>
      <c r="N97" s="27">
        <f>N98+N99+N100</f>
        <v>0</v>
      </c>
      <c r="O97" s="27">
        <f>O98+O99+O100</f>
        <v>77324.8</v>
      </c>
      <c r="P97" s="27">
        <f>P98+P99+P100</f>
        <v>0</v>
      </c>
      <c r="Q97" s="27">
        <f>M97+N97+O97+P97</f>
        <v>231330.1</v>
      </c>
      <c r="R97" s="36">
        <f t="shared" si="20"/>
        <v>0.4683</v>
      </c>
      <c r="S97" s="46">
        <f t="shared" si="21"/>
        <v>16550.5</v>
      </c>
      <c r="T97" s="26"/>
      <c r="U97" s="27">
        <f t="shared" si="22"/>
        <v>83415.5</v>
      </c>
      <c r="V97" s="27">
        <f t="shared" si="23"/>
        <v>-162673.1</v>
      </c>
      <c r="W97" s="27">
        <f t="shared" si="24"/>
        <v>262639.1</v>
      </c>
      <c r="Y97" s="2"/>
    </row>
    <row r="98" spans="1:25" s="3" customFormat="1" ht="15" customHeight="1">
      <c r="A98" s="43"/>
      <c r="B98" s="71"/>
      <c r="C98" s="26" t="s">
        <v>9</v>
      </c>
      <c r="D98" s="38"/>
      <c r="E98" s="37"/>
      <c r="F98" s="37"/>
      <c r="G98" s="38"/>
      <c r="H98" s="27">
        <f>H113+H145</f>
        <v>58880.7</v>
      </c>
      <c r="I98" s="27">
        <f>I113+I145</f>
        <v>0</v>
      </c>
      <c r="J98" s="27">
        <f>J113+J145</f>
        <v>13906.2</v>
      </c>
      <c r="K98" s="27">
        <f>K113+K145</f>
        <v>0</v>
      </c>
      <c r="L98" s="27">
        <f t="shared" si="25"/>
        <v>72786.9</v>
      </c>
      <c r="M98" s="27">
        <f>M113+M145</f>
        <v>58827.2</v>
      </c>
      <c r="N98" s="27">
        <f>N113+N145</f>
        <v>0</v>
      </c>
      <c r="O98" s="27">
        <f>O113+O145</f>
        <v>13904.9</v>
      </c>
      <c r="P98" s="27">
        <f>P113+P145</f>
        <v>0</v>
      </c>
      <c r="Q98" s="27">
        <f>M98+N98+O98+P98</f>
        <v>72732.1</v>
      </c>
      <c r="R98" s="36">
        <f t="shared" si="20"/>
        <v>0.9992</v>
      </c>
      <c r="S98" s="46">
        <f t="shared" si="21"/>
        <v>53.5</v>
      </c>
      <c r="T98" s="26"/>
      <c r="U98" s="27">
        <f t="shared" si="22"/>
        <v>1.3</v>
      </c>
      <c r="V98" s="27">
        <f t="shared" si="23"/>
        <v>0</v>
      </c>
      <c r="W98" s="27">
        <f t="shared" si="24"/>
        <v>54.8</v>
      </c>
      <c r="Y98" s="2"/>
    </row>
    <row r="99" spans="1:25" s="3" customFormat="1" ht="15" customHeight="1">
      <c r="A99" s="43" t="s">
        <v>44</v>
      </c>
      <c r="B99" s="71"/>
      <c r="C99" s="67" t="s">
        <v>34</v>
      </c>
      <c r="D99" s="67" t="s">
        <v>5</v>
      </c>
      <c r="E99" s="48" t="s">
        <v>5</v>
      </c>
      <c r="F99" s="48" t="s">
        <v>122</v>
      </c>
      <c r="G99" s="67" t="s">
        <v>5</v>
      </c>
      <c r="H99" s="27">
        <f>H104+H121+H202</f>
        <v>85787.9</v>
      </c>
      <c r="I99" s="27">
        <f>I104+I121+I202</f>
        <v>0</v>
      </c>
      <c r="J99" s="27">
        <f>J104+J121+J202</f>
        <v>16856.1</v>
      </c>
      <c r="K99" s="27">
        <f>K104+K121+K202</f>
        <v>0</v>
      </c>
      <c r="L99" s="27">
        <f t="shared" si="25"/>
        <v>102644</v>
      </c>
      <c r="M99" s="27">
        <f>M104+M121+M202</f>
        <v>82247.3</v>
      </c>
      <c r="N99" s="27">
        <f>N104+N121+N202</f>
        <v>0</v>
      </c>
      <c r="O99" s="27">
        <f>O104+O121+O202</f>
        <v>14834.5</v>
      </c>
      <c r="P99" s="27">
        <f>P104+P121+P202</f>
        <v>0</v>
      </c>
      <c r="Q99" s="27">
        <f>M99+N99+O99+P99</f>
        <v>97081.8</v>
      </c>
      <c r="R99" s="36">
        <f t="shared" si="20"/>
        <v>0.9458</v>
      </c>
      <c r="S99" s="46">
        <f t="shared" si="21"/>
        <v>3540.6</v>
      </c>
      <c r="T99" s="26"/>
      <c r="U99" s="27">
        <f t="shared" si="22"/>
        <v>2021.6</v>
      </c>
      <c r="V99" s="27">
        <f t="shared" si="23"/>
        <v>0</v>
      </c>
      <c r="W99" s="27">
        <f t="shared" si="24"/>
        <v>5562.2</v>
      </c>
      <c r="Y99" s="2"/>
    </row>
    <row r="100" spans="1:25" s="23" customFormat="1" ht="14.25" customHeight="1">
      <c r="A100" s="42" t="s">
        <v>45</v>
      </c>
      <c r="B100" s="71"/>
      <c r="C100" s="67" t="s">
        <v>10</v>
      </c>
      <c r="D100" s="67">
        <v>774</v>
      </c>
      <c r="E100" s="67" t="s">
        <v>5</v>
      </c>
      <c r="F100" s="48" t="s">
        <v>122</v>
      </c>
      <c r="G100" s="67" t="s">
        <v>5</v>
      </c>
      <c r="H100" s="27">
        <f>H103</f>
        <v>25887.2</v>
      </c>
      <c r="I100" s="27">
        <f>I103</f>
        <v>0</v>
      </c>
      <c r="J100" s="27">
        <f>J103</f>
        <v>129978</v>
      </c>
      <c r="K100" s="27">
        <f>K103</f>
        <v>162673.1</v>
      </c>
      <c r="L100" s="27">
        <f>H100+I100+J100+K100</f>
        <v>318538.3</v>
      </c>
      <c r="M100" s="27">
        <f>M103</f>
        <v>12930.8</v>
      </c>
      <c r="N100" s="27">
        <f>N103</f>
        <v>0</v>
      </c>
      <c r="O100" s="27">
        <f>O103</f>
        <v>48585.4</v>
      </c>
      <c r="P100" s="27">
        <f>P103</f>
        <v>0</v>
      </c>
      <c r="Q100" s="27">
        <f>M100+N100+O100+P100</f>
        <v>61516.2</v>
      </c>
      <c r="R100" s="36">
        <f t="shared" si="20"/>
        <v>0.1931</v>
      </c>
      <c r="S100" s="46">
        <f t="shared" si="21"/>
        <v>12956.4</v>
      </c>
      <c r="T100" s="26"/>
      <c r="U100" s="27">
        <f t="shared" si="22"/>
        <v>81392.6</v>
      </c>
      <c r="V100" s="27">
        <f t="shared" si="23"/>
        <v>-162673.1</v>
      </c>
      <c r="W100" s="27">
        <f t="shared" si="24"/>
        <v>257022.1</v>
      </c>
      <c r="Y100" s="2"/>
    </row>
    <row r="101" spans="1:25" s="23" customFormat="1" ht="15.75" customHeight="1" hidden="1">
      <c r="A101" s="42" t="s">
        <v>46</v>
      </c>
      <c r="B101" s="34"/>
      <c r="C101" s="38"/>
      <c r="D101" s="26">
        <v>750</v>
      </c>
      <c r="E101" s="26" t="s">
        <v>5</v>
      </c>
      <c r="F101" s="48" t="s">
        <v>122</v>
      </c>
      <c r="G101" s="26" t="s">
        <v>5</v>
      </c>
      <c r="H101" s="32"/>
      <c r="I101" s="27">
        <v>0</v>
      </c>
      <c r="J101" s="27">
        <v>0</v>
      </c>
      <c r="K101" s="27">
        <v>0</v>
      </c>
      <c r="L101" s="27">
        <f>H101+I101+J101+K101</f>
        <v>0</v>
      </c>
      <c r="M101" s="32"/>
      <c r="N101" s="27">
        <v>0</v>
      </c>
      <c r="O101" s="27">
        <v>0</v>
      </c>
      <c r="P101" s="27">
        <v>0</v>
      </c>
      <c r="Q101" s="27">
        <f>M101+N101+O101+P101</f>
        <v>0</v>
      </c>
      <c r="R101" s="36" t="e">
        <f t="shared" si="20"/>
        <v>#DIV/0!</v>
      </c>
      <c r="S101" s="46">
        <f t="shared" si="21"/>
        <v>0</v>
      </c>
      <c r="T101" s="26"/>
      <c r="U101" s="27">
        <f t="shared" si="22"/>
        <v>0</v>
      </c>
      <c r="V101" s="27">
        <f t="shared" si="23"/>
        <v>0</v>
      </c>
      <c r="W101" s="27">
        <f t="shared" si="24"/>
        <v>0</v>
      </c>
      <c r="Y101" s="2"/>
    </row>
    <row r="102" spans="1:25" s="23" customFormat="1" ht="14.25" customHeight="1">
      <c r="A102" s="42"/>
      <c r="B102" s="78" t="s">
        <v>264</v>
      </c>
      <c r="C102" s="26" t="s">
        <v>5</v>
      </c>
      <c r="D102" s="26"/>
      <c r="E102" s="26"/>
      <c r="F102" s="48"/>
      <c r="G102" s="26"/>
      <c r="H102" s="27">
        <f>H103+H104</f>
        <v>49845.5</v>
      </c>
      <c r="I102" s="27">
        <f>I103+I104</f>
        <v>0</v>
      </c>
      <c r="J102" s="27">
        <f>J103+J104</f>
        <v>129978</v>
      </c>
      <c r="K102" s="27">
        <f>K103+K104</f>
        <v>162673.1</v>
      </c>
      <c r="L102" s="27">
        <f aca="true" t="shared" si="27" ref="L102:L112">H102+I102+J102+K102</f>
        <v>342496.6</v>
      </c>
      <c r="M102" s="27">
        <f>M103+M104</f>
        <v>35728.5</v>
      </c>
      <c r="N102" s="27">
        <f>N103+N104</f>
        <v>0</v>
      </c>
      <c r="O102" s="27">
        <f>O103+O104</f>
        <v>48585.4</v>
      </c>
      <c r="P102" s="27">
        <f>P103+P104</f>
        <v>0</v>
      </c>
      <c r="Q102" s="27">
        <f aca="true" t="shared" si="28" ref="Q102:Q113">M102+N102+O102+P102</f>
        <v>84313.9</v>
      </c>
      <c r="R102" s="36">
        <f t="shared" si="20"/>
        <v>0.2462</v>
      </c>
      <c r="S102" s="46">
        <f t="shared" si="21"/>
        <v>14117</v>
      </c>
      <c r="T102" s="26"/>
      <c r="U102" s="27">
        <f t="shared" si="22"/>
        <v>81392.6</v>
      </c>
      <c r="V102" s="27">
        <f t="shared" si="23"/>
        <v>-162673.1</v>
      </c>
      <c r="W102" s="27">
        <f t="shared" si="24"/>
        <v>258182.7</v>
      </c>
      <c r="Y102" s="2"/>
    </row>
    <row r="103" spans="1:25" s="3" customFormat="1" ht="36" customHeight="1">
      <c r="A103" s="43" t="s">
        <v>47</v>
      </c>
      <c r="B103" s="78"/>
      <c r="C103" s="26" t="s">
        <v>10</v>
      </c>
      <c r="D103" s="26">
        <v>774</v>
      </c>
      <c r="E103" s="48" t="s">
        <v>5</v>
      </c>
      <c r="F103" s="48" t="s">
        <v>123</v>
      </c>
      <c r="G103" s="26"/>
      <c r="H103" s="27">
        <f>H105+H106</f>
        <v>25887.2</v>
      </c>
      <c r="I103" s="27">
        <f>I105+I106</f>
        <v>0</v>
      </c>
      <c r="J103" s="27">
        <f>J105+J106</f>
        <v>129978</v>
      </c>
      <c r="K103" s="27">
        <f>K105+K106</f>
        <v>162673.1</v>
      </c>
      <c r="L103" s="27">
        <f t="shared" si="27"/>
        <v>318538.3</v>
      </c>
      <c r="M103" s="27">
        <f>M105+M106</f>
        <v>12930.8</v>
      </c>
      <c r="N103" s="27">
        <f>N105+N106</f>
        <v>0</v>
      </c>
      <c r="O103" s="27">
        <f>O105+O106</f>
        <v>48585.4</v>
      </c>
      <c r="P103" s="27">
        <f>P105+P106</f>
        <v>0</v>
      </c>
      <c r="Q103" s="27">
        <f t="shared" si="28"/>
        <v>61516.2</v>
      </c>
      <c r="R103" s="36">
        <f t="shared" si="20"/>
        <v>0.1931</v>
      </c>
      <c r="S103" s="47" t="e">
        <f>#REF!</f>
        <v>#REF!</v>
      </c>
      <c r="T103" s="28" t="e">
        <f>#REF!</f>
        <v>#REF!</v>
      </c>
      <c r="U103" s="28" t="e">
        <f>#REF!</f>
        <v>#REF!</v>
      </c>
      <c r="V103" s="28" t="e">
        <f>#REF!</f>
        <v>#REF!</v>
      </c>
      <c r="W103" s="28" t="e">
        <f>#REF!</f>
        <v>#REF!</v>
      </c>
      <c r="X103" s="28" t="e">
        <f>#REF!</f>
        <v>#REF!</v>
      </c>
      <c r="Y103" s="2"/>
    </row>
    <row r="104" spans="1:25" s="3" customFormat="1" ht="15" customHeight="1">
      <c r="A104" s="43" t="s">
        <v>99</v>
      </c>
      <c r="B104" s="78"/>
      <c r="C104" s="26" t="s">
        <v>34</v>
      </c>
      <c r="D104" s="26">
        <v>774</v>
      </c>
      <c r="E104" s="48" t="s">
        <v>31</v>
      </c>
      <c r="F104" s="48" t="s">
        <v>125</v>
      </c>
      <c r="G104" s="26">
        <v>600</v>
      </c>
      <c r="H104" s="27">
        <f>H107+H108+H109+H110+H111+H112</f>
        <v>23958.3</v>
      </c>
      <c r="I104" s="27">
        <f>I107+I108+I109+I110+I111+I112</f>
        <v>0</v>
      </c>
      <c r="J104" s="27">
        <f>J107+J108+J109+J110+J111+J112</f>
        <v>0</v>
      </c>
      <c r="K104" s="27">
        <f>K107+K108+K109+K110+K111+K112</f>
        <v>0</v>
      </c>
      <c r="L104" s="27">
        <f t="shared" si="27"/>
        <v>23958.3</v>
      </c>
      <c r="M104" s="27">
        <f>M107+M108+M109+M110+M111+M112</f>
        <v>22797.7</v>
      </c>
      <c r="N104" s="27">
        <f>N107+N108+N109+N110+N111+N112</f>
        <v>0</v>
      </c>
      <c r="O104" s="27">
        <f>O107+O108+O109+O110+O111+O112</f>
        <v>0</v>
      </c>
      <c r="P104" s="27">
        <f>P107+P108+P109+P110+P111+P112</f>
        <v>0</v>
      </c>
      <c r="Q104" s="27">
        <f t="shared" si="28"/>
        <v>22797.7</v>
      </c>
      <c r="R104" s="36">
        <f t="shared" si="20"/>
        <v>0.9516</v>
      </c>
      <c r="S104" s="47" t="e">
        <f>S110+#REF!+#REF!</f>
        <v>#REF!</v>
      </c>
      <c r="T104" s="28" t="e">
        <f>T110+#REF!+#REF!</f>
        <v>#REF!</v>
      </c>
      <c r="U104" s="28" t="e">
        <f>U110+#REF!+#REF!</f>
        <v>#REF!</v>
      </c>
      <c r="V104" s="28" t="e">
        <f>V110+#REF!+#REF!</f>
        <v>#REF!</v>
      </c>
      <c r="W104" s="28" t="e">
        <f>W110+#REF!+#REF!</f>
        <v>#REF!</v>
      </c>
      <c r="X104" s="28" t="e">
        <f>X110+#REF!+#REF!</f>
        <v>#REF!</v>
      </c>
      <c r="Y104" s="2"/>
    </row>
    <row r="105" spans="1:25" s="3" customFormat="1" ht="30.75" customHeight="1">
      <c r="A105" s="43"/>
      <c r="B105" s="56" t="s">
        <v>281</v>
      </c>
      <c r="C105" s="57" t="s">
        <v>10</v>
      </c>
      <c r="D105" s="26"/>
      <c r="E105" s="48"/>
      <c r="F105" s="48"/>
      <c r="G105" s="26"/>
      <c r="H105" s="32">
        <f>12718+238.4</f>
        <v>12956.4</v>
      </c>
      <c r="I105" s="27"/>
      <c r="J105" s="32">
        <f>53274+28118.6</f>
        <v>81392.6</v>
      </c>
      <c r="K105" s="32">
        <v>144037</v>
      </c>
      <c r="L105" s="27">
        <f t="shared" si="27"/>
        <v>238386</v>
      </c>
      <c r="M105" s="27"/>
      <c r="N105" s="32">
        <v>0</v>
      </c>
      <c r="O105" s="32">
        <v>0</v>
      </c>
      <c r="P105" s="32">
        <v>0</v>
      </c>
      <c r="Q105" s="27">
        <f t="shared" si="28"/>
        <v>0</v>
      </c>
      <c r="R105" s="36">
        <f t="shared" si="20"/>
        <v>0</v>
      </c>
      <c r="S105" s="31"/>
      <c r="T105" s="31"/>
      <c r="U105" s="31"/>
      <c r="V105" s="31"/>
      <c r="W105" s="31"/>
      <c r="X105" s="31"/>
      <c r="Y105" s="2"/>
    </row>
    <row r="106" spans="1:25" s="3" customFormat="1" ht="15" customHeight="1">
      <c r="A106" s="43"/>
      <c r="B106" s="56" t="s">
        <v>282</v>
      </c>
      <c r="C106" s="57" t="s">
        <v>10</v>
      </c>
      <c r="D106" s="26"/>
      <c r="E106" s="48"/>
      <c r="F106" s="48"/>
      <c r="G106" s="26"/>
      <c r="H106" s="32">
        <f>12692.4+238.4</f>
        <v>12930.8</v>
      </c>
      <c r="I106" s="27"/>
      <c r="J106" s="32">
        <f>12185.3+36400.1</f>
        <v>48585.4</v>
      </c>
      <c r="K106" s="32">
        <v>18636.1</v>
      </c>
      <c r="L106" s="27">
        <f t="shared" si="27"/>
        <v>80152.3</v>
      </c>
      <c r="M106" s="32">
        <f>12692.4+238.4</f>
        <v>12930.8</v>
      </c>
      <c r="N106" s="32">
        <v>0</v>
      </c>
      <c r="O106" s="32">
        <f>12185.3+36400.1</f>
        <v>48585.4</v>
      </c>
      <c r="P106" s="32">
        <v>0</v>
      </c>
      <c r="Q106" s="27">
        <f t="shared" si="28"/>
        <v>61516.2</v>
      </c>
      <c r="R106" s="36">
        <f>Q106/L106*100%</f>
        <v>0.7675</v>
      </c>
      <c r="S106" s="31"/>
      <c r="T106" s="31"/>
      <c r="U106" s="31"/>
      <c r="V106" s="31"/>
      <c r="W106" s="31"/>
      <c r="X106" s="31"/>
      <c r="Y106" s="2"/>
    </row>
    <row r="107" spans="1:25" s="3" customFormat="1" ht="34.5" customHeight="1">
      <c r="A107" s="43"/>
      <c r="B107" s="56" t="s">
        <v>177</v>
      </c>
      <c r="C107" s="57" t="s">
        <v>34</v>
      </c>
      <c r="D107" s="26"/>
      <c r="E107" s="48"/>
      <c r="F107" s="48"/>
      <c r="G107" s="26"/>
      <c r="H107" s="32">
        <v>15331.8</v>
      </c>
      <c r="I107" s="27"/>
      <c r="J107" s="27"/>
      <c r="K107" s="32">
        <v>0</v>
      </c>
      <c r="L107" s="27">
        <f t="shared" si="27"/>
        <v>15331.8</v>
      </c>
      <c r="M107" s="27">
        <v>15331.8</v>
      </c>
      <c r="N107" s="32">
        <v>0</v>
      </c>
      <c r="O107" s="32">
        <f>J107</f>
        <v>0</v>
      </c>
      <c r="P107" s="32">
        <v>0</v>
      </c>
      <c r="Q107" s="27">
        <f t="shared" si="28"/>
        <v>15331.8</v>
      </c>
      <c r="R107" s="36">
        <f t="shared" si="20"/>
        <v>1</v>
      </c>
      <c r="S107" s="31"/>
      <c r="T107" s="31"/>
      <c r="U107" s="31"/>
      <c r="V107" s="31"/>
      <c r="W107" s="31"/>
      <c r="X107" s="31"/>
      <c r="Y107" s="2"/>
    </row>
    <row r="108" spans="1:25" s="3" customFormat="1" ht="15" customHeight="1">
      <c r="A108" s="43"/>
      <c r="B108" s="56" t="s">
        <v>283</v>
      </c>
      <c r="C108" s="57" t="s">
        <v>34</v>
      </c>
      <c r="D108" s="26"/>
      <c r="E108" s="48"/>
      <c r="F108" s="48"/>
      <c r="G108" s="26"/>
      <c r="H108" s="32">
        <v>1000.6</v>
      </c>
      <c r="I108" s="27"/>
      <c r="J108" s="27"/>
      <c r="K108" s="32">
        <v>0</v>
      </c>
      <c r="L108" s="27">
        <f t="shared" si="27"/>
        <v>1000.6</v>
      </c>
      <c r="M108" s="27">
        <v>1000</v>
      </c>
      <c r="N108" s="32">
        <v>0</v>
      </c>
      <c r="O108" s="32">
        <f>J108</f>
        <v>0</v>
      </c>
      <c r="P108" s="32">
        <v>0</v>
      </c>
      <c r="Q108" s="27">
        <f t="shared" si="28"/>
        <v>1000</v>
      </c>
      <c r="R108" s="36">
        <f t="shared" si="20"/>
        <v>0.9994</v>
      </c>
      <c r="S108" s="31"/>
      <c r="T108" s="31"/>
      <c r="U108" s="31"/>
      <c r="V108" s="31"/>
      <c r="W108" s="31"/>
      <c r="X108" s="31"/>
      <c r="Y108" s="2"/>
    </row>
    <row r="109" spans="1:25" s="3" customFormat="1" ht="15" customHeight="1">
      <c r="A109" s="43"/>
      <c r="B109" s="58" t="s">
        <v>284</v>
      </c>
      <c r="C109" s="57" t="s">
        <v>34</v>
      </c>
      <c r="D109" s="26"/>
      <c r="E109" s="48"/>
      <c r="F109" s="48"/>
      <c r="G109" s="26"/>
      <c r="H109" s="32">
        <v>1322.7</v>
      </c>
      <c r="I109" s="27"/>
      <c r="J109" s="27"/>
      <c r="K109" s="32">
        <v>0</v>
      </c>
      <c r="L109" s="27">
        <f t="shared" si="27"/>
        <v>1322.7</v>
      </c>
      <c r="M109" s="27">
        <v>1322.7</v>
      </c>
      <c r="N109" s="32">
        <v>0</v>
      </c>
      <c r="O109" s="32">
        <f>J109</f>
        <v>0</v>
      </c>
      <c r="P109" s="32">
        <v>0</v>
      </c>
      <c r="Q109" s="27">
        <f t="shared" si="28"/>
        <v>1322.7</v>
      </c>
      <c r="R109" s="36">
        <f t="shared" si="20"/>
        <v>1</v>
      </c>
      <c r="S109" s="31"/>
      <c r="T109" s="31"/>
      <c r="U109" s="31"/>
      <c r="V109" s="31"/>
      <c r="W109" s="31"/>
      <c r="X109" s="31"/>
      <c r="Y109" s="2"/>
    </row>
    <row r="110" spans="1:25" s="3" customFormat="1" ht="31.5">
      <c r="A110" s="43" t="s">
        <v>48</v>
      </c>
      <c r="B110" s="59" t="s">
        <v>285</v>
      </c>
      <c r="C110" s="57" t="s">
        <v>34</v>
      </c>
      <c r="D110" s="26">
        <v>774</v>
      </c>
      <c r="E110" s="48" t="s">
        <v>5</v>
      </c>
      <c r="F110" s="48" t="s">
        <v>127</v>
      </c>
      <c r="G110" s="26" t="s">
        <v>5</v>
      </c>
      <c r="H110" s="32">
        <v>1160</v>
      </c>
      <c r="I110" s="32"/>
      <c r="J110" s="32"/>
      <c r="K110" s="32">
        <v>0</v>
      </c>
      <c r="L110" s="27">
        <f t="shared" si="27"/>
        <v>1160</v>
      </c>
      <c r="M110" s="32">
        <v>0</v>
      </c>
      <c r="N110" s="32">
        <v>0</v>
      </c>
      <c r="O110" s="32">
        <f aca="true" t="shared" si="29" ref="O110:O130">J110</f>
        <v>0</v>
      </c>
      <c r="P110" s="32">
        <v>0</v>
      </c>
      <c r="Q110" s="27">
        <f t="shared" si="28"/>
        <v>0</v>
      </c>
      <c r="R110" s="36">
        <f t="shared" si="20"/>
        <v>0</v>
      </c>
      <c r="S110" s="46">
        <f t="shared" si="21"/>
        <v>1160</v>
      </c>
      <c r="T110" s="26"/>
      <c r="U110" s="27">
        <f t="shared" si="22"/>
        <v>0</v>
      </c>
      <c r="V110" s="27">
        <f t="shared" si="23"/>
        <v>0</v>
      </c>
      <c r="W110" s="27">
        <f t="shared" si="24"/>
        <v>1160</v>
      </c>
      <c r="Y110" s="2"/>
    </row>
    <row r="111" spans="1:25" s="3" customFormat="1" ht="15.75">
      <c r="A111" s="43"/>
      <c r="B111" s="59" t="s">
        <v>286</v>
      </c>
      <c r="C111" s="57" t="s">
        <v>34</v>
      </c>
      <c r="D111" s="26"/>
      <c r="E111" s="48"/>
      <c r="F111" s="48"/>
      <c r="G111" s="26"/>
      <c r="H111" s="32">
        <v>1160</v>
      </c>
      <c r="I111" s="32"/>
      <c r="J111" s="32"/>
      <c r="K111" s="32">
        <v>0</v>
      </c>
      <c r="L111" s="27">
        <f t="shared" si="27"/>
        <v>1160</v>
      </c>
      <c r="M111" s="32">
        <v>1160</v>
      </c>
      <c r="N111" s="32">
        <v>0</v>
      </c>
      <c r="O111" s="32">
        <f>J111</f>
        <v>0</v>
      </c>
      <c r="P111" s="32">
        <v>0</v>
      </c>
      <c r="Q111" s="27">
        <f t="shared" si="28"/>
        <v>1160</v>
      </c>
      <c r="R111" s="36">
        <f t="shared" si="20"/>
        <v>1</v>
      </c>
      <c r="S111" s="46"/>
      <c r="T111" s="26"/>
      <c r="U111" s="27"/>
      <c r="V111" s="27"/>
      <c r="W111" s="27"/>
      <c r="Y111" s="2"/>
    </row>
    <row r="112" spans="1:25" s="3" customFormat="1" ht="15.75">
      <c r="A112" s="43"/>
      <c r="B112" s="58" t="s">
        <v>287</v>
      </c>
      <c r="C112" s="57" t="s">
        <v>34</v>
      </c>
      <c r="D112" s="26"/>
      <c r="E112" s="48"/>
      <c r="F112" s="48"/>
      <c r="G112" s="26"/>
      <c r="H112" s="32">
        <v>3983.2</v>
      </c>
      <c r="I112" s="32"/>
      <c r="J112" s="32"/>
      <c r="K112" s="32">
        <v>0</v>
      </c>
      <c r="L112" s="27">
        <f t="shared" si="27"/>
        <v>3983.2</v>
      </c>
      <c r="M112" s="32">
        <v>3983.2</v>
      </c>
      <c r="N112" s="32">
        <v>0</v>
      </c>
      <c r="O112" s="32">
        <f>J112</f>
        <v>0</v>
      </c>
      <c r="P112" s="32">
        <v>0</v>
      </c>
      <c r="Q112" s="27">
        <f t="shared" si="28"/>
        <v>3983.2</v>
      </c>
      <c r="R112" s="36">
        <f t="shared" si="20"/>
        <v>1</v>
      </c>
      <c r="S112" s="46"/>
      <c r="T112" s="26"/>
      <c r="U112" s="27"/>
      <c r="V112" s="27"/>
      <c r="W112" s="27"/>
      <c r="Y112" s="2"/>
    </row>
    <row r="113" spans="1:25" s="3" customFormat="1" ht="31.5">
      <c r="A113" s="43" t="s">
        <v>213</v>
      </c>
      <c r="B113" s="60" t="s">
        <v>210</v>
      </c>
      <c r="C113" s="26" t="s">
        <v>9</v>
      </c>
      <c r="D113" s="38">
        <v>163</v>
      </c>
      <c r="E113" s="37" t="s">
        <v>6</v>
      </c>
      <c r="F113" s="37" t="s">
        <v>145</v>
      </c>
      <c r="G113" s="38">
        <v>400</v>
      </c>
      <c r="H113" s="27">
        <f>H114+H116</f>
        <v>23263.6</v>
      </c>
      <c r="I113" s="27">
        <f>I114+I116+I117</f>
        <v>0</v>
      </c>
      <c r="J113" s="27">
        <f>J114+J116+J117</f>
        <v>0</v>
      </c>
      <c r="K113" s="49">
        <f>K114+K116+K117</f>
        <v>0</v>
      </c>
      <c r="L113" s="27">
        <f t="shared" si="25"/>
        <v>23263.6</v>
      </c>
      <c r="M113" s="27">
        <f>M114+M116</f>
        <v>23263.6</v>
      </c>
      <c r="N113" s="27">
        <f>N114+N116+N117</f>
        <v>0</v>
      </c>
      <c r="O113" s="27">
        <f>O114+O116+O117</f>
        <v>0</v>
      </c>
      <c r="P113" s="49">
        <f>P114+P116+P117</f>
        <v>0</v>
      </c>
      <c r="Q113" s="27">
        <f t="shared" si="28"/>
        <v>23263.6</v>
      </c>
      <c r="R113" s="36">
        <f t="shared" si="20"/>
        <v>1</v>
      </c>
      <c r="S113" s="46">
        <f>H113-M113</f>
        <v>0</v>
      </c>
      <c r="T113" s="26"/>
      <c r="U113" s="27">
        <f t="shared" si="22"/>
        <v>0</v>
      </c>
      <c r="V113" s="27">
        <f t="shared" si="23"/>
        <v>0</v>
      </c>
      <c r="W113" s="27">
        <f t="shared" si="24"/>
        <v>0</v>
      </c>
      <c r="Y113" s="2"/>
    </row>
    <row r="114" spans="1:25" s="3" customFormat="1" ht="15.75">
      <c r="A114" s="43" t="s">
        <v>214</v>
      </c>
      <c r="B114" s="55" t="s">
        <v>289</v>
      </c>
      <c r="C114" s="38" t="s">
        <v>9</v>
      </c>
      <c r="D114" s="38">
        <v>163</v>
      </c>
      <c r="E114" s="37" t="s">
        <v>6</v>
      </c>
      <c r="F114" s="37" t="s">
        <v>145</v>
      </c>
      <c r="G114" s="38">
        <v>400</v>
      </c>
      <c r="H114" s="32">
        <f>H115</f>
        <v>23234</v>
      </c>
      <c r="I114" s="32">
        <f>I115</f>
        <v>0</v>
      </c>
      <c r="J114" s="32">
        <f>J115</f>
        <v>0</v>
      </c>
      <c r="K114" s="61">
        <f>K115</f>
        <v>0</v>
      </c>
      <c r="L114" s="27">
        <f t="shared" si="25"/>
        <v>23234</v>
      </c>
      <c r="M114" s="32">
        <f>H114</f>
        <v>23234</v>
      </c>
      <c r="N114" s="32">
        <v>0</v>
      </c>
      <c r="O114" s="32">
        <f>O115</f>
        <v>0</v>
      </c>
      <c r="P114" s="61">
        <f>P115</f>
        <v>0</v>
      </c>
      <c r="Q114" s="27">
        <f t="shared" si="26"/>
        <v>23234</v>
      </c>
      <c r="R114" s="36">
        <f t="shared" si="20"/>
        <v>1</v>
      </c>
      <c r="S114" s="46">
        <f t="shared" si="21"/>
        <v>0</v>
      </c>
      <c r="T114" s="26"/>
      <c r="U114" s="27">
        <f t="shared" si="22"/>
        <v>0</v>
      </c>
      <c r="V114" s="27">
        <f t="shared" si="23"/>
        <v>0</v>
      </c>
      <c r="W114" s="27">
        <f t="shared" si="24"/>
        <v>0</v>
      </c>
      <c r="Y114" s="2"/>
    </row>
    <row r="115" spans="1:25" s="3" customFormat="1" ht="15.75">
      <c r="A115" s="43"/>
      <c r="B115" s="55" t="s">
        <v>288</v>
      </c>
      <c r="C115" s="38" t="s">
        <v>9</v>
      </c>
      <c r="D115" s="38"/>
      <c r="E115" s="37"/>
      <c r="F115" s="37"/>
      <c r="G115" s="38"/>
      <c r="H115" s="32">
        <v>23234</v>
      </c>
      <c r="I115" s="32">
        <v>0</v>
      </c>
      <c r="J115" s="32"/>
      <c r="K115" s="61"/>
      <c r="L115" s="27">
        <f t="shared" si="25"/>
        <v>23234</v>
      </c>
      <c r="M115" s="32">
        <v>23234</v>
      </c>
      <c r="N115" s="32">
        <v>0</v>
      </c>
      <c r="O115" s="32"/>
      <c r="P115" s="61"/>
      <c r="Q115" s="27">
        <f t="shared" si="26"/>
        <v>23234</v>
      </c>
      <c r="R115" s="36">
        <f t="shared" si="20"/>
        <v>1</v>
      </c>
      <c r="S115" s="46">
        <f t="shared" si="21"/>
        <v>0</v>
      </c>
      <c r="T115" s="26"/>
      <c r="U115" s="27">
        <f t="shared" si="22"/>
        <v>0</v>
      </c>
      <c r="V115" s="27">
        <f t="shared" si="23"/>
        <v>0</v>
      </c>
      <c r="W115" s="27">
        <f t="shared" si="24"/>
        <v>0</v>
      </c>
      <c r="Y115" s="2"/>
    </row>
    <row r="116" spans="1:25" s="3" customFormat="1" ht="15.75">
      <c r="A116" s="43" t="s">
        <v>228</v>
      </c>
      <c r="B116" s="55" t="s">
        <v>218</v>
      </c>
      <c r="C116" s="38" t="s">
        <v>9</v>
      </c>
      <c r="D116" s="38"/>
      <c r="E116" s="37"/>
      <c r="F116" s="37"/>
      <c r="G116" s="38"/>
      <c r="H116" s="32">
        <f>SUM(H117:H117)</f>
        <v>29.6</v>
      </c>
      <c r="I116" s="32">
        <v>0</v>
      </c>
      <c r="J116" s="32">
        <v>0</v>
      </c>
      <c r="K116" s="32">
        <v>0</v>
      </c>
      <c r="L116" s="27">
        <f t="shared" si="25"/>
        <v>29.6</v>
      </c>
      <c r="M116" s="32">
        <v>29.6</v>
      </c>
      <c r="N116" s="32">
        <v>0</v>
      </c>
      <c r="O116" s="32">
        <f t="shared" si="29"/>
        <v>0</v>
      </c>
      <c r="P116" s="32">
        <v>0</v>
      </c>
      <c r="Q116" s="27">
        <f t="shared" si="26"/>
        <v>29.6</v>
      </c>
      <c r="R116" s="36">
        <f t="shared" si="20"/>
        <v>1</v>
      </c>
      <c r="S116" s="46">
        <f t="shared" si="21"/>
        <v>0</v>
      </c>
      <c r="T116" s="26"/>
      <c r="U116" s="27">
        <f t="shared" si="22"/>
        <v>0</v>
      </c>
      <c r="V116" s="27">
        <f t="shared" si="23"/>
        <v>0</v>
      </c>
      <c r="W116" s="27">
        <f t="shared" si="24"/>
        <v>0</v>
      </c>
      <c r="Y116" s="2"/>
    </row>
    <row r="117" spans="1:25" s="3" customFormat="1" ht="63">
      <c r="A117" s="43" t="s">
        <v>61</v>
      </c>
      <c r="B117" s="55" t="s">
        <v>265</v>
      </c>
      <c r="C117" s="38" t="s">
        <v>9</v>
      </c>
      <c r="D117" s="38">
        <v>774</v>
      </c>
      <c r="E117" s="37" t="s">
        <v>6</v>
      </c>
      <c r="F117" s="37" t="s">
        <v>128</v>
      </c>
      <c r="G117" s="38">
        <v>600</v>
      </c>
      <c r="H117" s="32">
        <v>29.6</v>
      </c>
      <c r="I117" s="32">
        <v>0</v>
      </c>
      <c r="J117" s="32">
        <v>0</v>
      </c>
      <c r="K117" s="32">
        <v>0</v>
      </c>
      <c r="L117" s="27">
        <f t="shared" si="25"/>
        <v>29.6</v>
      </c>
      <c r="M117" s="32">
        <v>29.6</v>
      </c>
      <c r="N117" s="32">
        <v>0</v>
      </c>
      <c r="O117" s="32">
        <f t="shared" si="29"/>
        <v>0</v>
      </c>
      <c r="P117" s="32">
        <v>0</v>
      </c>
      <c r="Q117" s="27">
        <f t="shared" si="26"/>
        <v>29.6</v>
      </c>
      <c r="R117" s="36">
        <f t="shared" si="20"/>
        <v>1</v>
      </c>
      <c r="S117" s="46">
        <f t="shared" si="21"/>
        <v>0</v>
      </c>
      <c r="T117" s="26"/>
      <c r="U117" s="27">
        <f t="shared" si="22"/>
        <v>0</v>
      </c>
      <c r="V117" s="27">
        <f t="shared" si="23"/>
        <v>0</v>
      </c>
      <c r="W117" s="27">
        <f t="shared" si="24"/>
        <v>0</v>
      </c>
      <c r="Y117" s="2"/>
    </row>
    <row r="118" spans="1:25" s="3" customFormat="1" ht="31.5">
      <c r="A118" s="43" t="s">
        <v>62</v>
      </c>
      <c r="B118" s="60" t="s">
        <v>173</v>
      </c>
      <c r="C118" s="26" t="s">
        <v>5</v>
      </c>
      <c r="D118" s="38">
        <v>774</v>
      </c>
      <c r="E118" s="37" t="s">
        <v>6</v>
      </c>
      <c r="F118" s="37" t="s">
        <v>128</v>
      </c>
      <c r="G118" s="38">
        <v>600</v>
      </c>
      <c r="H118" s="27">
        <f>H121+H145+H119</f>
        <v>89616</v>
      </c>
      <c r="I118" s="27">
        <f>I121+I145+I119</f>
        <v>0</v>
      </c>
      <c r="J118" s="27">
        <f>J121+J145+J119</f>
        <v>24510</v>
      </c>
      <c r="K118" s="27">
        <f>K121+K145+K119</f>
        <v>0</v>
      </c>
      <c r="L118" s="27">
        <f t="shared" si="25"/>
        <v>114126</v>
      </c>
      <c r="M118" s="27">
        <f>M121+M145+M119</f>
        <v>88761.1</v>
      </c>
      <c r="N118" s="27">
        <f>N121+N145+N119</f>
        <v>0</v>
      </c>
      <c r="O118" s="27">
        <f>O121+O145+O119</f>
        <v>23777</v>
      </c>
      <c r="P118" s="27">
        <f>P121+P145+P119</f>
        <v>0</v>
      </c>
      <c r="Q118" s="27">
        <f t="shared" si="26"/>
        <v>112538.1</v>
      </c>
      <c r="R118" s="36">
        <f t="shared" si="20"/>
        <v>0.9861</v>
      </c>
      <c r="S118" s="46">
        <f t="shared" si="21"/>
        <v>854.9</v>
      </c>
      <c r="T118" s="26"/>
      <c r="U118" s="27">
        <f t="shared" si="22"/>
        <v>733</v>
      </c>
      <c r="V118" s="27">
        <f t="shared" si="23"/>
        <v>0</v>
      </c>
      <c r="W118" s="27">
        <f t="shared" si="24"/>
        <v>1587.9</v>
      </c>
      <c r="Y118" s="2"/>
    </row>
    <row r="119" spans="1:25" s="3" customFormat="1" ht="31.5" hidden="1">
      <c r="A119" s="43"/>
      <c r="B119" s="62" t="s">
        <v>131</v>
      </c>
      <c r="C119" s="26" t="s">
        <v>9</v>
      </c>
      <c r="D119" s="38"/>
      <c r="E119" s="37"/>
      <c r="F119" s="37"/>
      <c r="G119" s="38"/>
      <c r="H119" s="27">
        <f>H120</f>
        <v>0</v>
      </c>
      <c r="I119" s="27">
        <f>I120</f>
        <v>0</v>
      </c>
      <c r="J119" s="27">
        <f>J120</f>
        <v>0</v>
      </c>
      <c r="K119" s="27">
        <f>K120</f>
        <v>0</v>
      </c>
      <c r="L119" s="27">
        <f t="shared" si="25"/>
        <v>0</v>
      </c>
      <c r="M119" s="27">
        <f>M120</f>
        <v>0</v>
      </c>
      <c r="N119" s="27">
        <f>N120</f>
        <v>0</v>
      </c>
      <c r="O119" s="27">
        <f>O120</f>
        <v>0</v>
      </c>
      <c r="P119" s="27">
        <f>P120</f>
        <v>0</v>
      </c>
      <c r="Q119" s="27">
        <f t="shared" si="26"/>
        <v>0</v>
      </c>
      <c r="R119" s="36" t="e">
        <f t="shared" si="20"/>
        <v>#DIV/0!</v>
      </c>
      <c r="S119" s="46">
        <f t="shared" si="21"/>
        <v>0</v>
      </c>
      <c r="T119" s="26"/>
      <c r="U119" s="27">
        <f t="shared" si="22"/>
        <v>0</v>
      </c>
      <c r="V119" s="27">
        <f t="shared" si="23"/>
        <v>0</v>
      </c>
      <c r="W119" s="27">
        <f t="shared" si="24"/>
        <v>0</v>
      </c>
      <c r="Y119" s="2"/>
    </row>
    <row r="120" spans="1:25" s="3" customFormat="1" ht="15.75" hidden="1">
      <c r="A120" s="43"/>
      <c r="B120" s="35" t="s">
        <v>266</v>
      </c>
      <c r="C120" s="38" t="s">
        <v>9</v>
      </c>
      <c r="D120" s="38"/>
      <c r="E120" s="37"/>
      <c r="F120" s="37"/>
      <c r="G120" s="38"/>
      <c r="H120" s="32">
        <v>0</v>
      </c>
      <c r="I120" s="32">
        <v>0</v>
      </c>
      <c r="J120" s="32">
        <v>0</v>
      </c>
      <c r="K120" s="32">
        <v>0</v>
      </c>
      <c r="L120" s="27">
        <f t="shared" si="25"/>
        <v>0</v>
      </c>
      <c r="M120" s="32">
        <v>0</v>
      </c>
      <c r="N120" s="32">
        <v>0</v>
      </c>
      <c r="O120" s="32">
        <v>0</v>
      </c>
      <c r="P120" s="32">
        <v>0</v>
      </c>
      <c r="Q120" s="27">
        <f t="shared" si="26"/>
        <v>0</v>
      </c>
      <c r="R120" s="36" t="e">
        <f t="shared" si="20"/>
        <v>#DIV/0!</v>
      </c>
      <c r="S120" s="46">
        <f t="shared" si="21"/>
        <v>0</v>
      </c>
      <c r="T120" s="26"/>
      <c r="U120" s="27">
        <f t="shared" si="22"/>
        <v>0</v>
      </c>
      <c r="V120" s="27">
        <f t="shared" si="23"/>
        <v>0</v>
      </c>
      <c r="W120" s="27">
        <f t="shared" si="24"/>
        <v>0</v>
      </c>
      <c r="Y120" s="2"/>
    </row>
    <row r="121" spans="1:25" s="3" customFormat="1" ht="31.5">
      <c r="A121" s="43" t="s">
        <v>63</v>
      </c>
      <c r="B121" s="62" t="s">
        <v>129</v>
      </c>
      <c r="C121" s="26" t="s">
        <v>34</v>
      </c>
      <c r="D121" s="38">
        <v>774</v>
      </c>
      <c r="E121" s="37" t="s">
        <v>6</v>
      </c>
      <c r="F121" s="37" t="s">
        <v>128</v>
      </c>
      <c r="G121" s="38">
        <v>600</v>
      </c>
      <c r="H121" s="27">
        <f>SUM(H122:H144)</f>
        <v>53998.9</v>
      </c>
      <c r="I121" s="27">
        <f>SUM(I122:I144)</f>
        <v>0</v>
      </c>
      <c r="J121" s="27">
        <f>SUM(J122:J144)</f>
        <v>10603.8</v>
      </c>
      <c r="K121" s="27">
        <f>SUM(K122:K144)</f>
        <v>0</v>
      </c>
      <c r="L121" s="27">
        <f t="shared" si="25"/>
        <v>64602.7</v>
      </c>
      <c r="M121" s="27">
        <f>SUM(M122:M144)</f>
        <v>53197.5</v>
      </c>
      <c r="N121" s="27">
        <f>SUM(N122:N144)</f>
        <v>0</v>
      </c>
      <c r="O121" s="27">
        <f>SUM(O122:O144)</f>
        <v>9872.1</v>
      </c>
      <c r="P121" s="27">
        <f>SUM(P122:P144)</f>
        <v>0</v>
      </c>
      <c r="Q121" s="27">
        <f t="shared" si="26"/>
        <v>63069.6</v>
      </c>
      <c r="R121" s="36">
        <f t="shared" si="20"/>
        <v>0.9763</v>
      </c>
      <c r="S121" s="46">
        <f t="shared" si="21"/>
        <v>801.4</v>
      </c>
      <c r="T121" s="26"/>
      <c r="U121" s="27">
        <f t="shared" si="22"/>
        <v>731.7</v>
      </c>
      <c r="V121" s="27">
        <f t="shared" si="23"/>
        <v>0</v>
      </c>
      <c r="W121" s="27">
        <f t="shared" si="24"/>
        <v>1533.1</v>
      </c>
      <c r="Y121" s="2"/>
    </row>
    <row r="122" spans="1:25" s="3" customFormat="1" ht="31.5">
      <c r="A122" s="43" t="s">
        <v>64</v>
      </c>
      <c r="B122" s="56" t="s">
        <v>208</v>
      </c>
      <c r="C122" s="38" t="s">
        <v>34</v>
      </c>
      <c r="D122" s="38">
        <v>706</v>
      </c>
      <c r="E122" s="37" t="s">
        <v>7</v>
      </c>
      <c r="F122" s="37" t="s">
        <v>130</v>
      </c>
      <c r="G122" s="38">
        <v>200</v>
      </c>
      <c r="H122" s="63">
        <f>879.5-136.8</f>
        <v>742.7</v>
      </c>
      <c r="I122" s="32">
        <v>0</v>
      </c>
      <c r="J122" s="32">
        <v>0</v>
      </c>
      <c r="K122" s="32">
        <v>0</v>
      </c>
      <c r="L122" s="27">
        <f aca="true" t="shared" si="30" ref="L122:L164">H122+I122+J122+K122</f>
        <v>742.7</v>
      </c>
      <c r="M122" s="32">
        <f>H122</f>
        <v>742.7</v>
      </c>
      <c r="N122" s="32">
        <v>0</v>
      </c>
      <c r="O122" s="32">
        <f t="shared" si="29"/>
        <v>0</v>
      </c>
      <c r="P122" s="32">
        <v>0</v>
      </c>
      <c r="Q122" s="27">
        <f aca="true" t="shared" si="31" ref="Q122:Q143">M122+N122+O122+P122</f>
        <v>742.7</v>
      </c>
      <c r="R122" s="36">
        <f aca="true" t="shared" si="32" ref="R122:R146">Q122/L122*100%</f>
        <v>1</v>
      </c>
      <c r="S122" s="46">
        <f aca="true" t="shared" si="33" ref="S122:S143">H122-M122</f>
        <v>0</v>
      </c>
      <c r="T122" s="26"/>
      <c r="U122" s="27">
        <f aca="true" t="shared" si="34" ref="U122:U145">J122-O122</f>
        <v>0</v>
      </c>
      <c r="V122" s="27">
        <f aca="true" t="shared" si="35" ref="V122:V145">P122-K122</f>
        <v>0</v>
      </c>
      <c r="W122" s="27">
        <f aca="true" t="shared" si="36" ref="W122:W145">L122-Q122</f>
        <v>0</v>
      </c>
      <c r="Y122" s="2"/>
    </row>
    <row r="123" spans="1:25" s="3" customFormat="1" ht="15.75">
      <c r="A123" s="43" t="s">
        <v>65</v>
      </c>
      <c r="B123" s="56" t="s">
        <v>267</v>
      </c>
      <c r="C123" s="38" t="s">
        <v>34</v>
      </c>
      <c r="D123" s="38">
        <v>706</v>
      </c>
      <c r="E123" s="37" t="s">
        <v>7</v>
      </c>
      <c r="F123" s="37" t="s">
        <v>130</v>
      </c>
      <c r="G123" s="38">
        <v>200</v>
      </c>
      <c r="H123" s="63">
        <f>421.4+983-128.4</f>
        <v>1276</v>
      </c>
      <c r="I123" s="32">
        <v>0</v>
      </c>
      <c r="J123" s="32">
        <v>0</v>
      </c>
      <c r="K123" s="32">
        <v>0</v>
      </c>
      <c r="L123" s="27">
        <f t="shared" si="30"/>
        <v>1276</v>
      </c>
      <c r="M123" s="32">
        <f>H123</f>
        <v>1276</v>
      </c>
      <c r="N123" s="32">
        <v>0</v>
      </c>
      <c r="O123" s="32">
        <f t="shared" si="29"/>
        <v>0</v>
      </c>
      <c r="P123" s="32">
        <v>0</v>
      </c>
      <c r="Q123" s="27">
        <f t="shared" si="31"/>
        <v>1276</v>
      </c>
      <c r="R123" s="36">
        <f t="shared" si="32"/>
        <v>1</v>
      </c>
      <c r="S123" s="46">
        <f t="shared" si="33"/>
        <v>0</v>
      </c>
      <c r="T123" s="26"/>
      <c r="U123" s="27">
        <f t="shared" si="34"/>
        <v>0</v>
      </c>
      <c r="V123" s="27">
        <f t="shared" si="35"/>
        <v>0</v>
      </c>
      <c r="W123" s="27">
        <f t="shared" si="36"/>
        <v>0</v>
      </c>
      <c r="Y123" s="2"/>
    </row>
    <row r="124" spans="1:25" s="3" customFormat="1" ht="47.25">
      <c r="A124" s="43" t="s">
        <v>146</v>
      </c>
      <c r="B124" s="56" t="s">
        <v>268</v>
      </c>
      <c r="C124" s="38" t="s">
        <v>34</v>
      </c>
      <c r="D124" s="38">
        <v>706</v>
      </c>
      <c r="E124" s="37" t="s">
        <v>7</v>
      </c>
      <c r="F124" s="37" t="s">
        <v>130</v>
      </c>
      <c r="G124" s="38">
        <v>200</v>
      </c>
      <c r="H124" s="63">
        <f>2238.1+2080-983</f>
        <v>3335.1</v>
      </c>
      <c r="I124" s="32">
        <v>0</v>
      </c>
      <c r="J124" s="32">
        <v>0</v>
      </c>
      <c r="K124" s="32">
        <v>0</v>
      </c>
      <c r="L124" s="27">
        <f t="shared" si="30"/>
        <v>3335.1</v>
      </c>
      <c r="M124" s="32">
        <v>3052</v>
      </c>
      <c r="N124" s="32">
        <v>0</v>
      </c>
      <c r="O124" s="32">
        <f t="shared" si="29"/>
        <v>0</v>
      </c>
      <c r="P124" s="32">
        <v>0</v>
      </c>
      <c r="Q124" s="27">
        <f t="shared" si="31"/>
        <v>3052</v>
      </c>
      <c r="R124" s="36">
        <f t="shared" si="32"/>
        <v>0.9151</v>
      </c>
      <c r="S124" s="46">
        <f t="shared" si="33"/>
        <v>283.1</v>
      </c>
      <c r="T124" s="26"/>
      <c r="U124" s="27">
        <f t="shared" si="34"/>
        <v>0</v>
      </c>
      <c r="V124" s="27">
        <f t="shared" si="35"/>
        <v>0</v>
      </c>
      <c r="W124" s="27">
        <f t="shared" si="36"/>
        <v>283.1</v>
      </c>
      <c r="Y124" s="2"/>
    </row>
    <row r="125" spans="1:25" s="3" customFormat="1" ht="47.25">
      <c r="A125" s="43" t="s">
        <v>66</v>
      </c>
      <c r="B125" s="56" t="s">
        <v>269</v>
      </c>
      <c r="C125" s="38" t="s">
        <v>34</v>
      </c>
      <c r="D125" s="38">
        <v>706</v>
      </c>
      <c r="E125" s="37" t="s">
        <v>7</v>
      </c>
      <c r="F125" s="37" t="s">
        <v>130</v>
      </c>
      <c r="G125" s="38">
        <v>200</v>
      </c>
      <c r="H125" s="63">
        <f>2095.9-154.4</f>
        <v>1941.5</v>
      </c>
      <c r="I125" s="32">
        <v>0</v>
      </c>
      <c r="J125" s="32">
        <v>0</v>
      </c>
      <c r="K125" s="32">
        <v>0</v>
      </c>
      <c r="L125" s="27">
        <f t="shared" si="30"/>
        <v>1941.5</v>
      </c>
      <c r="M125" s="32">
        <f>H125</f>
        <v>1941.5</v>
      </c>
      <c r="N125" s="32">
        <v>0</v>
      </c>
      <c r="O125" s="32">
        <f t="shared" si="29"/>
        <v>0</v>
      </c>
      <c r="P125" s="32">
        <v>0</v>
      </c>
      <c r="Q125" s="27">
        <f t="shared" si="31"/>
        <v>1941.5</v>
      </c>
      <c r="R125" s="36">
        <f t="shared" si="32"/>
        <v>1</v>
      </c>
      <c r="S125" s="46">
        <f t="shared" si="33"/>
        <v>0</v>
      </c>
      <c r="T125" s="26"/>
      <c r="U125" s="27">
        <f t="shared" si="34"/>
        <v>0</v>
      </c>
      <c r="V125" s="27">
        <f t="shared" si="35"/>
        <v>0</v>
      </c>
      <c r="W125" s="27">
        <f t="shared" si="36"/>
        <v>0</v>
      </c>
      <c r="Y125" s="2"/>
    </row>
    <row r="126" spans="1:25" s="3" customFormat="1" ht="31.5">
      <c r="A126" s="43" t="s">
        <v>147</v>
      </c>
      <c r="B126" s="56" t="s">
        <v>270</v>
      </c>
      <c r="C126" s="38" t="s">
        <v>34</v>
      </c>
      <c r="D126" s="38">
        <v>706</v>
      </c>
      <c r="E126" s="37" t="s">
        <v>7</v>
      </c>
      <c r="F126" s="37" t="s">
        <v>130</v>
      </c>
      <c r="G126" s="38">
        <v>200</v>
      </c>
      <c r="H126" s="63">
        <f>300+70.4</f>
        <v>370.4</v>
      </c>
      <c r="I126" s="32">
        <v>0</v>
      </c>
      <c r="J126" s="32">
        <v>0</v>
      </c>
      <c r="K126" s="32">
        <v>0</v>
      </c>
      <c r="L126" s="27">
        <f t="shared" si="30"/>
        <v>370.4</v>
      </c>
      <c r="M126" s="32">
        <v>368.8</v>
      </c>
      <c r="N126" s="32">
        <v>0</v>
      </c>
      <c r="O126" s="32">
        <f t="shared" si="29"/>
        <v>0</v>
      </c>
      <c r="P126" s="32">
        <v>0</v>
      </c>
      <c r="Q126" s="27">
        <f t="shared" si="31"/>
        <v>368.8</v>
      </c>
      <c r="R126" s="36">
        <f t="shared" si="32"/>
        <v>0.9957</v>
      </c>
      <c r="S126" s="46">
        <f t="shared" si="33"/>
        <v>1.6</v>
      </c>
      <c r="T126" s="26"/>
      <c r="U126" s="27">
        <f t="shared" si="34"/>
        <v>0</v>
      </c>
      <c r="V126" s="27">
        <f t="shared" si="35"/>
        <v>0</v>
      </c>
      <c r="W126" s="27">
        <f t="shared" si="36"/>
        <v>1.6</v>
      </c>
      <c r="Y126" s="2"/>
    </row>
    <row r="127" spans="1:25" s="3" customFormat="1" ht="15.75">
      <c r="A127" s="43" t="s">
        <v>148</v>
      </c>
      <c r="B127" s="56" t="s">
        <v>290</v>
      </c>
      <c r="C127" s="38" t="s">
        <v>34</v>
      </c>
      <c r="D127" s="38">
        <v>706</v>
      </c>
      <c r="E127" s="37" t="s">
        <v>7</v>
      </c>
      <c r="F127" s="37" t="s">
        <v>130</v>
      </c>
      <c r="G127" s="38">
        <v>200</v>
      </c>
      <c r="H127" s="32">
        <f>780.7+3502.9-2240.1-50</f>
        <v>1993.5</v>
      </c>
      <c r="I127" s="32">
        <v>0</v>
      </c>
      <c r="J127" s="32">
        <v>0</v>
      </c>
      <c r="K127" s="32">
        <v>0</v>
      </c>
      <c r="L127" s="27">
        <f t="shared" si="30"/>
        <v>1993.5</v>
      </c>
      <c r="M127" s="32">
        <f>H127-348.1</f>
        <v>1645.4</v>
      </c>
      <c r="N127" s="32">
        <v>0</v>
      </c>
      <c r="O127" s="32"/>
      <c r="P127" s="32">
        <v>0</v>
      </c>
      <c r="Q127" s="27">
        <f t="shared" si="31"/>
        <v>1645.4</v>
      </c>
      <c r="R127" s="36">
        <f t="shared" si="32"/>
        <v>0.8254</v>
      </c>
      <c r="S127" s="46">
        <f t="shared" si="33"/>
        <v>348.1</v>
      </c>
      <c r="T127" s="26"/>
      <c r="U127" s="27">
        <f t="shared" si="34"/>
        <v>0</v>
      </c>
      <c r="V127" s="27">
        <f t="shared" si="35"/>
        <v>0</v>
      </c>
      <c r="W127" s="27">
        <f t="shared" si="36"/>
        <v>348.1</v>
      </c>
      <c r="Y127" s="2"/>
    </row>
    <row r="128" spans="1:25" s="3" customFormat="1" ht="31.5">
      <c r="A128" s="43" t="s">
        <v>149</v>
      </c>
      <c r="B128" s="56" t="s">
        <v>271</v>
      </c>
      <c r="C128" s="38" t="s">
        <v>34</v>
      </c>
      <c r="D128" s="38">
        <v>706</v>
      </c>
      <c r="E128" s="37" t="s">
        <v>7</v>
      </c>
      <c r="F128" s="37" t="s">
        <v>130</v>
      </c>
      <c r="G128" s="38">
        <v>200</v>
      </c>
      <c r="H128" s="32">
        <f>1800-358.7-85.8</f>
        <v>1355.5</v>
      </c>
      <c r="I128" s="32">
        <v>0</v>
      </c>
      <c r="J128" s="32">
        <v>0</v>
      </c>
      <c r="K128" s="32">
        <v>0</v>
      </c>
      <c r="L128" s="27">
        <f t="shared" si="30"/>
        <v>1355.5</v>
      </c>
      <c r="M128" s="32">
        <f aca="true" t="shared" si="37" ref="M128:M143">H128</f>
        <v>1355.5</v>
      </c>
      <c r="N128" s="32">
        <v>0</v>
      </c>
      <c r="O128" s="32">
        <f t="shared" si="29"/>
        <v>0</v>
      </c>
      <c r="P128" s="32">
        <v>0</v>
      </c>
      <c r="Q128" s="27">
        <f t="shared" si="31"/>
        <v>1355.5</v>
      </c>
      <c r="R128" s="36">
        <f t="shared" si="32"/>
        <v>1</v>
      </c>
      <c r="S128" s="46">
        <f t="shared" si="33"/>
        <v>0</v>
      </c>
      <c r="T128" s="26"/>
      <c r="U128" s="27">
        <f t="shared" si="34"/>
        <v>0</v>
      </c>
      <c r="V128" s="27">
        <f t="shared" si="35"/>
        <v>0</v>
      </c>
      <c r="W128" s="27">
        <f t="shared" si="36"/>
        <v>0</v>
      </c>
      <c r="Y128" s="2"/>
    </row>
    <row r="129" spans="1:25" s="3" customFormat="1" ht="47.25" hidden="1">
      <c r="A129" s="43" t="s">
        <v>150</v>
      </c>
      <c r="B129" s="56" t="s">
        <v>272</v>
      </c>
      <c r="C129" s="38" t="s">
        <v>34</v>
      </c>
      <c r="D129" s="38">
        <v>706</v>
      </c>
      <c r="E129" s="37" t="s">
        <v>7</v>
      </c>
      <c r="F129" s="37" t="s">
        <v>130</v>
      </c>
      <c r="G129" s="38">
        <v>200</v>
      </c>
      <c r="H129" s="32">
        <f>500-500</f>
        <v>0</v>
      </c>
      <c r="I129" s="32">
        <v>0</v>
      </c>
      <c r="J129" s="32">
        <v>0</v>
      </c>
      <c r="K129" s="32">
        <v>0</v>
      </c>
      <c r="L129" s="27">
        <f t="shared" si="30"/>
        <v>0</v>
      </c>
      <c r="M129" s="32">
        <f t="shared" si="37"/>
        <v>0</v>
      </c>
      <c r="N129" s="32">
        <v>0</v>
      </c>
      <c r="O129" s="32">
        <f t="shared" si="29"/>
        <v>0</v>
      </c>
      <c r="P129" s="32">
        <v>0</v>
      </c>
      <c r="Q129" s="27">
        <f t="shared" si="31"/>
        <v>0</v>
      </c>
      <c r="R129" s="36" t="e">
        <f t="shared" si="32"/>
        <v>#DIV/0!</v>
      </c>
      <c r="S129" s="46">
        <f t="shared" si="33"/>
        <v>0</v>
      </c>
      <c r="T129" s="26"/>
      <c r="U129" s="27">
        <f t="shared" si="34"/>
        <v>0</v>
      </c>
      <c r="V129" s="27">
        <f t="shared" si="35"/>
        <v>0</v>
      </c>
      <c r="W129" s="27">
        <f t="shared" si="36"/>
        <v>0</v>
      </c>
      <c r="Y129" s="2"/>
    </row>
    <row r="130" spans="1:25" s="3" customFormat="1" ht="47.25">
      <c r="A130" s="43" t="s">
        <v>151</v>
      </c>
      <c r="B130" s="56" t="s">
        <v>291</v>
      </c>
      <c r="C130" s="38" t="s">
        <v>34</v>
      </c>
      <c r="D130" s="38">
        <v>706</v>
      </c>
      <c r="E130" s="37" t="s">
        <v>6</v>
      </c>
      <c r="F130" s="37" t="s">
        <v>130</v>
      </c>
      <c r="G130" s="38">
        <v>200</v>
      </c>
      <c r="H130" s="32">
        <f>3000-1136.6+3786.6+477.4</f>
        <v>6127.4</v>
      </c>
      <c r="I130" s="32">
        <v>0</v>
      </c>
      <c r="J130" s="32">
        <v>0</v>
      </c>
      <c r="K130" s="32">
        <v>0</v>
      </c>
      <c r="L130" s="27">
        <f t="shared" si="30"/>
        <v>6127.4</v>
      </c>
      <c r="M130" s="32">
        <f t="shared" si="37"/>
        <v>6127.4</v>
      </c>
      <c r="N130" s="32">
        <v>0</v>
      </c>
      <c r="O130" s="32">
        <f t="shared" si="29"/>
        <v>0</v>
      </c>
      <c r="P130" s="32">
        <v>0</v>
      </c>
      <c r="Q130" s="27">
        <f t="shared" si="31"/>
        <v>6127.4</v>
      </c>
      <c r="R130" s="36">
        <f t="shared" si="32"/>
        <v>1</v>
      </c>
      <c r="S130" s="46">
        <f t="shared" si="33"/>
        <v>0</v>
      </c>
      <c r="T130" s="26"/>
      <c r="U130" s="27">
        <f t="shared" si="34"/>
        <v>0</v>
      </c>
      <c r="V130" s="27">
        <f t="shared" si="35"/>
        <v>0</v>
      </c>
      <c r="W130" s="27">
        <f t="shared" si="36"/>
        <v>0</v>
      </c>
      <c r="Y130" s="2"/>
    </row>
    <row r="131" spans="1:25" s="3" customFormat="1" ht="15.75">
      <c r="A131" s="43" t="s">
        <v>152</v>
      </c>
      <c r="B131" s="56" t="s">
        <v>292</v>
      </c>
      <c r="C131" s="38" t="s">
        <v>34</v>
      </c>
      <c r="D131" s="38">
        <v>706</v>
      </c>
      <c r="E131" s="37" t="s">
        <v>7</v>
      </c>
      <c r="F131" s="37" t="s">
        <v>130</v>
      </c>
      <c r="G131" s="38">
        <v>200</v>
      </c>
      <c r="H131" s="32">
        <f>14000-1330-621.8-0.9</f>
        <v>12047.3</v>
      </c>
      <c r="I131" s="32">
        <v>0</v>
      </c>
      <c r="J131" s="32">
        <v>0</v>
      </c>
      <c r="K131" s="32">
        <v>0</v>
      </c>
      <c r="L131" s="27">
        <f t="shared" si="30"/>
        <v>12047.3</v>
      </c>
      <c r="M131" s="32">
        <f>H131-198.1+32.7</f>
        <v>11881.9</v>
      </c>
      <c r="N131" s="32">
        <v>0</v>
      </c>
      <c r="O131" s="32">
        <f aca="true" t="shared" si="38" ref="O131:O136">J131</f>
        <v>0</v>
      </c>
      <c r="P131" s="32">
        <v>0</v>
      </c>
      <c r="Q131" s="27">
        <f t="shared" si="31"/>
        <v>11881.9</v>
      </c>
      <c r="R131" s="36">
        <f t="shared" si="32"/>
        <v>0.9863</v>
      </c>
      <c r="S131" s="46">
        <f t="shared" si="33"/>
        <v>165.4</v>
      </c>
      <c r="T131" s="26"/>
      <c r="U131" s="27">
        <f t="shared" si="34"/>
        <v>0</v>
      </c>
      <c r="V131" s="27">
        <f t="shared" si="35"/>
        <v>0</v>
      </c>
      <c r="W131" s="27">
        <f t="shared" si="36"/>
        <v>165.4</v>
      </c>
      <c r="Y131" s="2"/>
    </row>
    <row r="132" spans="1:25" s="3" customFormat="1" ht="15.75">
      <c r="A132" s="43" t="s">
        <v>153</v>
      </c>
      <c r="B132" s="56" t="s">
        <v>293</v>
      </c>
      <c r="C132" s="38" t="s">
        <v>34</v>
      </c>
      <c r="D132" s="38">
        <v>706</v>
      </c>
      <c r="E132" s="37" t="s">
        <v>7</v>
      </c>
      <c r="F132" s="37" t="s">
        <v>130</v>
      </c>
      <c r="G132" s="38">
        <v>200</v>
      </c>
      <c r="H132" s="32">
        <f>5236.3-420</f>
        <v>4816.3</v>
      </c>
      <c r="I132" s="32">
        <v>0</v>
      </c>
      <c r="J132" s="32">
        <v>0</v>
      </c>
      <c r="K132" s="32">
        <v>0</v>
      </c>
      <c r="L132" s="27">
        <f t="shared" si="30"/>
        <v>4816.3</v>
      </c>
      <c r="M132" s="32">
        <f t="shared" si="37"/>
        <v>4816.3</v>
      </c>
      <c r="N132" s="32">
        <v>0</v>
      </c>
      <c r="O132" s="32">
        <f t="shared" si="38"/>
        <v>0</v>
      </c>
      <c r="P132" s="32">
        <v>0</v>
      </c>
      <c r="Q132" s="27">
        <f t="shared" si="31"/>
        <v>4816.3</v>
      </c>
      <c r="R132" s="36">
        <f t="shared" si="32"/>
        <v>1</v>
      </c>
      <c r="S132" s="46">
        <f t="shared" si="33"/>
        <v>0</v>
      </c>
      <c r="T132" s="26"/>
      <c r="U132" s="27">
        <f t="shared" si="34"/>
        <v>0</v>
      </c>
      <c r="V132" s="27">
        <f t="shared" si="35"/>
        <v>0</v>
      </c>
      <c r="W132" s="27">
        <f t="shared" si="36"/>
        <v>0</v>
      </c>
      <c r="Y132" s="2"/>
    </row>
    <row r="133" spans="1:25" s="3" customFormat="1" ht="31.5">
      <c r="A133" s="43" t="s">
        <v>198</v>
      </c>
      <c r="B133" s="56" t="s">
        <v>294</v>
      </c>
      <c r="C133" s="38" t="s">
        <v>34</v>
      </c>
      <c r="D133" s="38">
        <v>706</v>
      </c>
      <c r="E133" s="37" t="s">
        <v>7</v>
      </c>
      <c r="F133" s="37" t="s">
        <v>130</v>
      </c>
      <c r="G133" s="38">
        <v>200</v>
      </c>
      <c r="H133" s="32">
        <f>9627.4-3492</f>
        <v>6135.4</v>
      </c>
      <c r="I133" s="32">
        <v>0</v>
      </c>
      <c r="J133" s="32">
        <v>0</v>
      </c>
      <c r="K133" s="32">
        <v>0</v>
      </c>
      <c r="L133" s="27">
        <f t="shared" si="30"/>
        <v>6135.4</v>
      </c>
      <c r="M133" s="32">
        <f t="shared" si="37"/>
        <v>6135.4</v>
      </c>
      <c r="N133" s="32">
        <v>0</v>
      </c>
      <c r="O133" s="32">
        <f t="shared" si="38"/>
        <v>0</v>
      </c>
      <c r="P133" s="32">
        <v>0</v>
      </c>
      <c r="Q133" s="27">
        <f t="shared" si="31"/>
        <v>6135.4</v>
      </c>
      <c r="R133" s="36">
        <f t="shared" si="32"/>
        <v>1</v>
      </c>
      <c r="S133" s="46">
        <f t="shared" si="33"/>
        <v>0</v>
      </c>
      <c r="T133" s="26"/>
      <c r="U133" s="27">
        <f t="shared" si="34"/>
        <v>0</v>
      </c>
      <c r="V133" s="27">
        <f t="shared" si="35"/>
        <v>0</v>
      </c>
      <c r="W133" s="27">
        <f t="shared" si="36"/>
        <v>0</v>
      </c>
      <c r="Y133" s="2"/>
    </row>
    <row r="134" spans="1:25" s="3" customFormat="1" ht="47.25">
      <c r="A134" s="43" t="s">
        <v>199</v>
      </c>
      <c r="B134" s="56" t="s">
        <v>295</v>
      </c>
      <c r="C134" s="38" t="s">
        <v>34</v>
      </c>
      <c r="D134" s="38">
        <v>706</v>
      </c>
      <c r="E134" s="37" t="s">
        <v>7</v>
      </c>
      <c r="F134" s="37" t="s">
        <v>130</v>
      </c>
      <c r="G134" s="38">
        <v>200</v>
      </c>
      <c r="H134" s="32">
        <f>300-150-37.5</f>
        <v>112.5</v>
      </c>
      <c r="I134" s="32">
        <v>0</v>
      </c>
      <c r="J134" s="32">
        <v>0</v>
      </c>
      <c r="K134" s="32">
        <v>0</v>
      </c>
      <c r="L134" s="27">
        <f t="shared" si="30"/>
        <v>112.5</v>
      </c>
      <c r="M134" s="32">
        <f t="shared" si="37"/>
        <v>112.5</v>
      </c>
      <c r="N134" s="32">
        <v>0</v>
      </c>
      <c r="O134" s="32">
        <f t="shared" si="38"/>
        <v>0</v>
      </c>
      <c r="P134" s="32">
        <v>0</v>
      </c>
      <c r="Q134" s="27">
        <f t="shared" si="31"/>
        <v>112.5</v>
      </c>
      <c r="R134" s="36">
        <f t="shared" si="32"/>
        <v>1</v>
      </c>
      <c r="S134" s="46">
        <f t="shared" si="33"/>
        <v>0</v>
      </c>
      <c r="T134" s="26"/>
      <c r="U134" s="27">
        <f t="shared" si="34"/>
        <v>0</v>
      </c>
      <c r="V134" s="27">
        <f t="shared" si="35"/>
        <v>0</v>
      </c>
      <c r="W134" s="27">
        <f t="shared" si="36"/>
        <v>0</v>
      </c>
      <c r="Y134" s="2"/>
    </row>
    <row r="135" spans="1:25" s="3" customFormat="1" ht="63">
      <c r="A135" s="43" t="s">
        <v>67</v>
      </c>
      <c r="B135" s="56" t="s">
        <v>296</v>
      </c>
      <c r="C135" s="38" t="s">
        <v>34</v>
      </c>
      <c r="D135" s="38">
        <v>706</v>
      </c>
      <c r="E135" s="37" t="s">
        <v>7</v>
      </c>
      <c r="F135" s="37" t="s">
        <v>130</v>
      </c>
      <c r="G135" s="38">
        <v>200</v>
      </c>
      <c r="H135" s="32">
        <v>450</v>
      </c>
      <c r="I135" s="32">
        <v>0</v>
      </c>
      <c r="J135" s="32">
        <v>0</v>
      </c>
      <c r="K135" s="32">
        <v>0</v>
      </c>
      <c r="L135" s="27">
        <f t="shared" si="30"/>
        <v>450</v>
      </c>
      <c r="M135" s="32">
        <f>H135-2.5</f>
        <v>447.5</v>
      </c>
      <c r="N135" s="32">
        <v>0</v>
      </c>
      <c r="O135" s="32">
        <f t="shared" si="38"/>
        <v>0</v>
      </c>
      <c r="P135" s="32">
        <v>0</v>
      </c>
      <c r="Q135" s="27">
        <f t="shared" si="31"/>
        <v>447.5</v>
      </c>
      <c r="R135" s="36">
        <f t="shared" si="32"/>
        <v>0.9944</v>
      </c>
      <c r="S135" s="46">
        <f t="shared" si="33"/>
        <v>2.5</v>
      </c>
      <c r="T135" s="26"/>
      <c r="U135" s="27">
        <f t="shared" si="34"/>
        <v>0</v>
      </c>
      <c r="V135" s="27">
        <f t="shared" si="35"/>
        <v>0</v>
      </c>
      <c r="W135" s="27">
        <f t="shared" si="36"/>
        <v>2.5</v>
      </c>
      <c r="Y135" s="2"/>
    </row>
    <row r="136" spans="1:25" s="3" customFormat="1" ht="31.5">
      <c r="A136" s="43" t="s">
        <v>68</v>
      </c>
      <c r="B136" s="56" t="s">
        <v>297</v>
      </c>
      <c r="C136" s="38" t="s">
        <v>34</v>
      </c>
      <c r="D136" s="38">
        <v>706</v>
      </c>
      <c r="E136" s="37" t="s">
        <v>7</v>
      </c>
      <c r="F136" s="37" t="s">
        <v>130</v>
      </c>
      <c r="G136" s="38">
        <v>200</v>
      </c>
      <c r="H136" s="32">
        <f>500+221+100</f>
        <v>821</v>
      </c>
      <c r="I136" s="27">
        <v>0</v>
      </c>
      <c r="J136" s="32">
        <v>0</v>
      </c>
      <c r="K136" s="27">
        <v>0</v>
      </c>
      <c r="L136" s="27">
        <f t="shared" si="30"/>
        <v>821</v>
      </c>
      <c r="M136" s="32">
        <f t="shared" si="37"/>
        <v>821</v>
      </c>
      <c r="N136" s="32">
        <v>0</v>
      </c>
      <c r="O136" s="32">
        <f t="shared" si="38"/>
        <v>0</v>
      </c>
      <c r="P136" s="32">
        <v>0</v>
      </c>
      <c r="Q136" s="27">
        <f t="shared" si="31"/>
        <v>821</v>
      </c>
      <c r="R136" s="36">
        <f t="shared" si="32"/>
        <v>1</v>
      </c>
      <c r="S136" s="46">
        <f t="shared" si="33"/>
        <v>0</v>
      </c>
      <c r="T136" s="26"/>
      <c r="U136" s="27">
        <f t="shared" si="34"/>
        <v>0</v>
      </c>
      <c r="V136" s="27">
        <f t="shared" si="35"/>
        <v>0</v>
      </c>
      <c r="W136" s="27">
        <f t="shared" si="36"/>
        <v>0</v>
      </c>
      <c r="Y136" s="2"/>
    </row>
    <row r="137" spans="1:25" s="3" customFormat="1" ht="15.75">
      <c r="A137" s="43" t="s">
        <v>69</v>
      </c>
      <c r="B137" s="56" t="s">
        <v>290</v>
      </c>
      <c r="C137" s="38" t="s">
        <v>34</v>
      </c>
      <c r="D137" s="38">
        <v>706</v>
      </c>
      <c r="E137" s="37" t="s">
        <v>7</v>
      </c>
      <c r="F137" s="37" t="s">
        <v>130</v>
      </c>
      <c r="G137" s="38">
        <v>200</v>
      </c>
      <c r="H137" s="32">
        <f>2388.2+559.1</f>
        <v>2947.3</v>
      </c>
      <c r="I137" s="27">
        <v>0</v>
      </c>
      <c r="J137" s="32">
        <v>8841.7</v>
      </c>
      <c r="K137" s="27">
        <v>0</v>
      </c>
      <c r="L137" s="27">
        <f t="shared" si="30"/>
        <v>11789</v>
      </c>
      <c r="M137" s="32">
        <f t="shared" si="37"/>
        <v>2947.3</v>
      </c>
      <c r="N137" s="32">
        <v>0</v>
      </c>
      <c r="O137" s="32">
        <v>8841.7</v>
      </c>
      <c r="P137" s="32">
        <v>0</v>
      </c>
      <c r="Q137" s="27">
        <f t="shared" si="31"/>
        <v>11789</v>
      </c>
      <c r="R137" s="36">
        <f t="shared" si="32"/>
        <v>1</v>
      </c>
      <c r="S137" s="46">
        <f t="shared" si="33"/>
        <v>0</v>
      </c>
      <c r="T137" s="26"/>
      <c r="U137" s="27">
        <f t="shared" si="34"/>
        <v>0</v>
      </c>
      <c r="V137" s="27">
        <f t="shared" si="35"/>
        <v>0</v>
      </c>
      <c r="W137" s="27">
        <f t="shared" si="36"/>
        <v>0</v>
      </c>
      <c r="Y137" s="2"/>
    </row>
    <row r="138" spans="1:25" s="3" customFormat="1" ht="31.5">
      <c r="A138" s="43" t="s">
        <v>70</v>
      </c>
      <c r="B138" s="56" t="s">
        <v>298</v>
      </c>
      <c r="C138" s="38" t="s">
        <v>34</v>
      </c>
      <c r="D138" s="38">
        <v>706</v>
      </c>
      <c r="E138" s="37" t="s">
        <v>7</v>
      </c>
      <c r="F138" s="37" t="s">
        <v>130</v>
      </c>
      <c r="G138" s="38">
        <v>200</v>
      </c>
      <c r="H138" s="32">
        <v>587.4</v>
      </c>
      <c r="I138" s="27">
        <v>0</v>
      </c>
      <c r="J138" s="32">
        <v>1762.1</v>
      </c>
      <c r="K138" s="27">
        <v>0</v>
      </c>
      <c r="L138" s="27">
        <f t="shared" si="30"/>
        <v>2349.5</v>
      </c>
      <c r="M138" s="32">
        <f t="shared" si="37"/>
        <v>587.4</v>
      </c>
      <c r="N138" s="32">
        <v>0</v>
      </c>
      <c r="O138" s="32">
        <v>1030.4</v>
      </c>
      <c r="P138" s="32">
        <v>0</v>
      </c>
      <c r="Q138" s="27">
        <f t="shared" si="31"/>
        <v>1617.8</v>
      </c>
      <c r="R138" s="36">
        <f t="shared" si="32"/>
        <v>0.6886</v>
      </c>
      <c r="S138" s="46">
        <f t="shared" si="33"/>
        <v>0</v>
      </c>
      <c r="T138" s="26"/>
      <c r="U138" s="27">
        <f t="shared" si="34"/>
        <v>731.7</v>
      </c>
      <c r="V138" s="27">
        <f t="shared" si="35"/>
        <v>0</v>
      </c>
      <c r="W138" s="27">
        <f t="shared" si="36"/>
        <v>731.7</v>
      </c>
      <c r="Y138" s="2"/>
    </row>
    <row r="139" spans="1:25" s="3" customFormat="1" ht="15.75">
      <c r="A139" s="43" t="s">
        <v>71</v>
      </c>
      <c r="B139" s="56" t="s">
        <v>299</v>
      </c>
      <c r="C139" s="38" t="s">
        <v>34</v>
      </c>
      <c r="D139" s="38">
        <v>706</v>
      </c>
      <c r="E139" s="37" t="s">
        <v>7</v>
      </c>
      <c r="F139" s="37" t="s">
        <v>130</v>
      </c>
      <c r="G139" s="38">
        <v>200</v>
      </c>
      <c r="H139" s="32">
        <f>1650.6-132</f>
        <v>1518.6</v>
      </c>
      <c r="I139" s="27">
        <v>0</v>
      </c>
      <c r="J139" s="32">
        <v>0</v>
      </c>
      <c r="K139" s="27">
        <v>0</v>
      </c>
      <c r="L139" s="27">
        <f t="shared" si="30"/>
        <v>1518.6</v>
      </c>
      <c r="M139" s="32">
        <f t="shared" si="37"/>
        <v>1518.6</v>
      </c>
      <c r="N139" s="32">
        <v>0</v>
      </c>
      <c r="O139" s="32">
        <f aca="true" t="shared" si="39" ref="O139:O144">J139</f>
        <v>0</v>
      </c>
      <c r="P139" s="32">
        <v>0</v>
      </c>
      <c r="Q139" s="27">
        <f t="shared" si="31"/>
        <v>1518.6</v>
      </c>
      <c r="R139" s="36">
        <f t="shared" si="32"/>
        <v>1</v>
      </c>
      <c r="S139" s="46">
        <f t="shared" si="33"/>
        <v>0</v>
      </c>
      <c r="T139" s="26"/>
      <c r="U139" s="27">
        <f t="shared" si="34"/>
        <v>0</v>
      </c>
      <c r="V139" s="27">
        <f t="shared" si="35"/>
        <v>0</v>
      </c>
      <c r="W139" s="27">
        <f t="shared" si="36"/>
        <v>0</v>
      </c>
      <c r="Y139" s="2"/>
    </row>
    <row r="140" spans="1:25" s="3" customFormat="1" ht="15.75">
      <c r="A140" s="43" t="s">
        <v>72</v>
      </c>
      <c r="B140" s="56" t="s">
        <v>300</v>
      </c>
      <c r="C140" s="38" t="s">
        <v>34</v>
      </c>
      <c r="D140" s="38">
        <v>706</v>
      </c>
      <c r="E140" s="37" t="s">
        <v>7</v>
      </c>
      <c r="F140" s="37" t="s">
        <v>130</v>
      </c>
      <c r="G140" s="38">
        <v>200</v>
      </c>
      <c r="H140" s="32">
        <f>2743-124.5-1.5</f>
        <v>2617</v>
      </c>
      <c r="I140" s="27">
        <v>0</v>
      </c>
      <c r="J140" s="32">
        <v>0</v>
      </c>
      <c r="K140" s="27">
        <v>0</v>
      </c>
      <c r="L140" s="27">
        <f t="shared" si="30"/>
        <v>2617</v>
      </c>
      <c r="M140" s="32">
        <f t="shared" si="37"/>
        <v>2617</v>
      </c>
      <c r="N140" s="32">
        <v>0</v>
      </c>
      <c r="O140" s="32">
        <f t="shared" si="39"/>
        <v>0</v>
      </c>
      <c r="P140" s="32">
        <v>0</v>
      </c>
      <c r="Q140" s="27">
        <f t="shared" si="31"/>
        <v>2617</v>
      </c>
      <c r="R140" s="36">
        <f t="shared" si="32"/>
        <v>1</v>
      </c>
      <c r="S140" s="46">
        <f t="shared" si="33"/>
        <v>0</v>
      </c>
      <c r="T140" s="26"/>
      <c r="U140" s="27">
        <f t="shared" si="34"/>
        <v>0</v>
      </c>
      <c r="V140" s="27">
        <f t="shared" si="35"/>
        <v>0</v>
      </c>
      <c r="W140" s="27">
        <f t="shared" si="36"/>
        <v>0</v>
      </c>
      <c r="Y140" s="2"/>
    </row>
    <row r="141" spans="1:25" s="3" customFormat="1" ht="15.75">
      <c r="A141" s="43" t="s">
        <v>73</v>
      </c>
      <c r="B141" s="56" t="s">
        <v>301</v>
      </c>
      <c r="C141" s="38" t="s">
        <v>34</v>
      </c>
      <c r="D141" s="38">
        <v>706</v>
      </c>
      <c r="E141" s="37" t="s">
        <v>6</v>
      </c>
      <c r="F141" s="37" t="s">
        <v>130</v>
      </c>
      <c r="G141" s="38">
        <v>200</v>
      </c>
      <c r="H141" s="32">
        <f>2500-440.8+100.8</f>
        <v>2160</v>
      </c>
      <c r="I141" s="27">
        <v>0</v>
      </c>
      <c r="J141" s="32">
        <v>0</v>
      </c>
      <c r="K141" s="27">
        <v>0</v>
      </c>
      <c r="L141" s="27">
        <f t="shared" si="30"/>
        <v>2160</v>
      </c>
      <c r="M141" s="32">
        <f t="shared" si="37"/>
        <v>2160</v>
      </c>
      <c r="N141" s="32">
        <v>0</v>
      </c>
      <c r="O141" s="32">
        <f t="shared" si="39"/>
        <v>0</v>
      </c>
      <c r="P141" s="32">
        <v>0</v>
      </c>
      <c r="Q141" s="27">
        <f t="shared" si="31"/>
        <v>2160</v>
      </c>
      <c r="R141" s="36">
        <f t="shared" si="32"/>
        <v>1</v>
      </c>
      <c r="S141" s="46">
        <f t="shared" si="33"/>
        <v>0</v>
      </c>
      <c r="T141" s="26"/>
      <c r="U141" s="27">
        <f t="shared" si="34"/>
        <v>0</v>
      </c>
      <c r="V141" s="27">
        <f t="shared" si="35"/>
        <v>0</v>
      </c>
      <c r="W141" s="27">
        <f t="shared" si="36"/>
        <v>0</v>
      </c>
      <c r="Y141" s="2"/>
    </row>
    <row r="142" spans="1:25" s="3" customFormat="1" ht="15.75">
      <c r="A142" s="43" t="s">
        <v>74</v>
      </c>
      <c r="B142" s="56" t="s">
        <v>302</v>
      </c>
      <c r="C142" s="38" t="s">
        <v>34</v>
      </c>
      <c r="D142" s="38">
        <v>706</v>
      </c>
      <c r="E142" s="37" t="s">
        <v>7</v>
      </c>
      <c r="F142" s="37" t="s">
        <v>130</v>
      </c>
      <c r="G142" s="38">
        <v>200</v>
      </c>
      <c r="H142" s="32">
        <f>1500-156.2-1.8</f>
        <v>1342</v>
      </c>
      <c r="I142" s="27">
        <v>0</v>
      </c>
      <c r="J142" s="32">
        <v>0</v>
      </c>
      <c r="K142" s="27">
        <v>0</v>
      </c>
      <c r="L142" s="27">
        <f t="shared" si="30"/>
        <v>1342</v>
      </c>
      <c r="M142" s="32">
        <f t="shared" si="37"/>
        <v>1342</v>
      </c>
      <c r="N142" s="32">
        <v>0</v>
      </c>
      <c r="O142" s="32">
        <f t="shared" si="39"/>
        <v>0</v>
      </c>
      <c r="P142" s="32">
        <v>0</v>
      </c>
      <c r="Q142" s="27">
        <f t="shared" si="31"/>
        <v>1342</v>
      </c>
      <c r="R142" s="36">
        <f t="shared" si="32"/>
        <v>1</v>
      </c>
      <c r="S142" s="46">
        <f t="shared" si="33"/>
        <v>0</v>
      </c>
      <c r="T142" s="26"/>
      <c r="U142" s="27">
        <f t="shared" si="34"/>
        <v>0</v>
      </c>
      <c r="V142" s="27">
        <f t="shared" si="35"/>
        <v>0</v>
      </c>
      <c r="W142" s="27">
        <f t="shared" si="36"/>
        <v>0</v>
      </c>
      <c r="Y142" s="2"/>
    </row>
    <row r="143" spans="1:25" s="3" customFormat="1" ht="15.75">
      <c r="A143" s="43" t="s">
        <v>75</v>
      </c>
      <c r="B143" s="56" t="s">
        <v>303</v>
      </c>
      <c r="C143" s="38" t="s">
        <v>34</v>
      </c>
      <c r="D143" s="38">
        <v>706</v>
      </c>
      <c r="E143" s="37" t="s">
        <v>7</v>
      </c>
      <c r="F143" s="37" t="s">
        <v>130</v>
      </c>
      <c r="G143" s="38">
        <v>200</v>
      </c>
      <c r="H143" s="32">
        <f>1500-126.5-131.5</f>
        <v>1242</v>
      </c>
      <c r="I143" s="27">
        <v>0</v>
      </c>
      <c r="J143" s="32">
        <v>0</v>
      </c>
      <c r="K143" s="27">
        <v>0</v>
      </c>
      <c r="L143" s="27">
        <f t="shared" si="30"/>
        <v>1242</v>
      </c>
      <c r="M143" s="32">
        <f t="shared" si="37"/>
        <v>1242</v>
      </c>
      <c r="N143" s="32">
        <v>0</v>
      </c>
      <c r="O143" s="32">
        <f t="shared" si="39"/>
        <v>0</v>
      </c>
      <c r="P143" s="32">
        <v>0</v>
      </c>
      <c r="Q143" s="27">
        <f t="shared" si="31"/>
        <v>1242</v>
      </c>
      <c r="R143" s="36">
        <f t="shared" si="32"/>
        <v>1</v>
      </c>
      <c r="S143" s="46">
        <f t="shared" si="33"/>
        <v>0</v>
      </c>
      <c r="T143" s="26"/>
      <c r="U143" s="27">
        <f t="shared" si="34"/>
        <v>0</v>
      </c>
      <c r="V143" s="27">
        <f t="shared" si="35"/>
        <v>0</v>
      </c>
      <c r="W143" s="27">
        <f t="shared" si="36"/>
        <v>0</v>
      </c>
      <c r="Y143" s="2"/>
    </row>
    <row r="144" spans="1:25" s="3" customFormat="1" ht="31.5">
      <c r="A144" s="43"/>
      <c r="B144" s="56" t="s">
        <v>304</v>
      </c>
      <c r="C144" s="38" t="s">
        <v>34</v>
      </c>
      <c r="D144" s="38"/>
      <c r="E144" s="37"/>
      <c r="F144" s="37"/>
      <c r="G144" s="38"/>
      <c r="H144" s="63">
        <v>60</v>
      </c>
      <c r="I144" s="27"/>
      <c r="J144" s="32"/>
      <c r="K144" s="27"/>
      <c r="L144" s="27">
        <f t="shared" si="30"/>
        <v>60</v>
      </c>
      <c r="M144" s="32">
        <f>H144-0.7</f>
        <v>59.3</v>
      </c>
      <c r="N144" s="32">
        <v>0</v>
      </c>
      <c r="O144" s="32">
        <f t="shared" si="39"/>
        <v>0</v>
      </c>
      <c r="P144" s="32">
        <v>0</v>
      </c>
      <c r="Q144" s="27">
        <f>M144+N144+O144+P144</f>
        <v>59.3</v>
      </c>
      <c r="R144" s="36">
        <f>Q144/L144*100%</f>
        <v>0.9883</v>
      </c>
      <c r="S144" s="46"/>
      <c r="T144" s="26"/>
      <c r="U144" s="27"/>
      <c r="V144" s="27"/>
      <c r="W144" s="27"/>
      <c r="Y144" s="2"/>
    </row>
    <row r="145" spans="1:25" s="3" customFormat="1" ht="31.5">
      <c r="A145" s="43" t="s">
        <v>76</v>
      </c>
      <c r="B145" s="62" t="s">
        <v>131</v>
      </c>
      <c r="C145" s="26" t="s">
        <v>9</v>
      </c>
      <c r="D145" s="38">
        <v>706</v>
      </c>
      <c r="E145" s="37" t="s">
        <v>6</v>
      </c>
      <c r="F145" s="37" t="s">
        <v>130</v>
      </c>
      <c r="G145" s="38">
        <v>200</v>
      </c>
      <c r="H145" s="27">
        <f>SUM(H147:H201)</f>
        <v>35617.1</v>
      </c>
      <c r="I145" s="27">
        <f>SUM(I147:I211)</f>
        <v>0</v>
      </c>
      <c r="J145" s="27">
        <f>SUM(J146:J201)</f>
        <v>13906.2</v>
      </c>
      <c r="K145" s="27">
        <f>SUM(K147:K211)</f>
        <v>0</v>
      </c>
      <c r="L145" s="27">
        <f t="shared" si="30"/>
        <v>49523.3</v>
      </c>
      <c r="M145" s="27">
        <f>SUM(M147:M201)</f>
        <v>35563.6</v>
      </c>
      <c r="N145" s="27">
        <f>SUM(N147:N211)</f>
        <v>0</v>
      </c>
      <c r="O145" s="27">
        <f>SUM(O146:O201)</f>
        <v>13904.9</v>
      </c>
      <c r="P145" s="27">
        <f>SUM(P147:P211)</f>
        <v>0</v>
      </c>
      <c r="Q145" s="27">
        <f>M145+N145+O145+P145</f>
        <v>49468.5</v>
      </c>
      <c r="R145" s="36">
        <f t="shared" si="32"/>
        <v>0.9989</v>
      </c>
      <c r="S145" s="46">
        <f>H145-M145</f>
        <v>53.5</v>
      </c>
      <c r="T145" s="26"/>
      <c r="U145" s="27">
        <f t="shared" si="34"/>
        <v>1.3</v>
      </c>
      <c r="V145" s="27">
        <f t="shared" si="35"/>
        <v>0</v>
      </c>
      <c r="W145" s="27">
        <f t="shared" si="36"/>
        <v>54.8</v>
      </c>
      <c r="Y145" s="2"/>
    </row>
    <row r="146" spans="1:25" s="3" customFormat="1" ht="47.25">
      <c r="A146" s="43"/>
      <c r="B146" s="56" t="s">
        <v>368</v>
      </c>
      <c r="C146" s="57" t="s">
        <v>9</v>
      </c>
      <c r="D146" s="38"/>
      <c r="E146" s="37"/>
      <c r="F146" s="37"/>
      <c r="G146" s="38"/>
      <c r="H146" s="27"/>
      <c r="I146" s="27"/>
      <c r="J146" s="32">
        <v>3796.2</v>
      </c>
      <c r="K146" s="32">
        <v>0</v>
      </c>
      <c r="L146" s="27">
        <f t="shared" si="30"/>
        <v>3796.2</v>
      </c>
      <c r="M146" s="27">
        <v>0</v>
      </c>
      <c r="N146" s="32">
        <v>0</v>
      </c>
      <c r="O146" s="32">
        <v>3794.9</v>
      </c>
      <c r="P146" s="32">
        <v>0</v>
      </c>
      <c r="Q146" s="27">
        <f>M146+N146+O146+P146</f>
        <v>3794.9</v>
      </c>
      <c r="R146" s="36">
        <f t="shared" si="32"/>
        <v>0.9997</v>
      </c>
      <c r="S146" s="46"/>
      <c r="T146" s="26"/>
      <c r="U146" s="27"/>
      <c r="V146" s="27"/>
      <c r="W146" s="27"/>
      <c r="Y146" s="2"/>
    </row>
    <row r="147" spans="1:25" s="3" customFormat="1" ht="15.75">
      <c r="A147" s="43"/>
      <c r="B147" s="64" t="s">
        <v>273</v>
      </c>
      <c r="C147" s="57" t="s">
        <v>9</v>
      </c>
      <c r="D147" s="38"/>
      <c r="E147" s="37"/>
      <c r="F147" s="37"/>
      <c r="G147" s="38"/>
      <c r="H147" s="63">
        <f>2739.7-2739.7+700</f>
        <v>700</v>
      </c>
      <c r="I147" s="32">
        <v>0</v>
      </c>
      <c r="J147" s="32">
        <v>2100</v>
      </c>
      <c r="K147" s="32">
        <v>0</v>
      </c>
      <c r="L147" s="27">
        <f t="shared" si="30"/>
        <v>2800</v>
      </c>
      <c r="M147" s="32">
        <f>H147</f>
        <v>700</v>
      </c>
      <c r="N147" s="32">
        <v>0</v>
      </c>
      <c r="O147" s="32">
        <f>J147</f>
        <v>2100</v>
      </c>
      <c r="P147" s="32">
        <v>0</v>
      </c>
      <c r="Q147" s="27">
        <f aca="true" t="shared" si="40" ref="Q147:Q211">M147+N147+O147+P147</f>
        <v>2800</v>
      </c>
      <c r="R147" s="36">
        <f aca="true" t="shared" si="41" ref="R147:R211">Q147/L147*100%</f>
        <v>1</v>
      </c>
      <c r="S147" s="46">
        <f aca="true" t="shared" si="42" ref="S147:S211">H147-M147</f>
        <v>0</v>
      </c>
      <c r="T147" s="26"/>
      <c r="U147" s="27">
        <f aca="true" t="shared" si="43" ref="U147:U211">J147-O147</f>
        <v>0</v>
      </c>
      <c r="V147" s="27">
        <f aca="true" t="shared" si="44" ref="V147:V211">P147-K147</f>
        <v>0</v>
      </c>
      <c r="W147" s="27">
        <f aca="true" t="shared" si="45" ref="W147:W211">L147-Q147</f>
        <v>0</v>
      </c>
      <c r="Y147" s="2"/>
    </row>
    <row r="148" spans="1:25" s="3" customFormat="1" ht="15.75">
      <c r="A148" s="43"/>
      <c r="B148" s="64" t="s">
        <v>305</v>
      </c>
      <c r="C148" s="57" t="s">
        <v>9</v>
      </c>
      <c r="D148" s="38"/>
      <c r="E148" s="37"/>
      <c r="F148" s="37"/>
      <c r="G148" s="38"/>
      <c r="H148" s="63">
        <v>570</v>
      </c>
      <c r="I148" s="32"/>
      <c r="J148" s="32">
        <v>1710</v>
      </c>
      <c r="K148" s="32">
        <v>0</v>
      </c>
      <c r="L148" s="27">
        <f t="shared" si="30"/>
        <v>2280</v>
      </c>
      <c r="M148" s="32">
        <f aca="true" t="shared" si="46" ref="M148:M164">H148</f>
        <v>570</v>
      </c>
      <c r="N148" s="32">
        <v>0</v>
      </c>
      <c r="O148" s="32">
        <f>J148</f>
        <v>1710</v>
      </c>
      <c r="P148" s="32">
        <v>0</v>
      </c>
      <c r="Q148" s="27">
        <f aca="true" t="shared" si="47" ref="Q148:Q166">M148+N148+O148+P148</f>
        <v>2280</v>
      </c>
      <c r="R148" s="36">
        <f aca="true" t="shared" si="48" ref="R148:R166">Q148/L148*100%</f>
        <v>1</v>
      </c>
      <c r="S148" s="46"/>
      <c r="T148" s="26"/>
      <c r="U148" s="27"/>
      <c r="V148" s="27"/>
      <c r="W148" s="27"/>
      <c r="Y148" s="2"/>
    </row>
    <row r="149" spans="1:25" s="3" customFormat="1" ht="15.75">
      <c r="A149" s="43"/>
      <c r="B149" s="64" t="s">
        <v>306</v>
      </c>
      <c r="C149" s="57" t="s">
        <v>9</v>
      </c>
      <c r="D149" s="38"/>
      <c r="E149" s="37"/>
      <c r="F149" s="37"/>
      <c r="G149" s="38"/>
      <c r="H149" s="63">
        <f>700+700</f>
        <v>1400</v>
      </c>
      <c r="I149" s="32"/>
      <c r="J149" s="32">
        <v>4200</v>
      </c>
      <c r="K149" s="32">
        <v>0</v>
      </c>
      <c r="L149" s="27">
        <f t="shared" si="30"/>
        <v>5600</v>
      </c>
      <c r="M149" s="32">
        <f t="shared" si="46"/>
        <v>1400</v>
      </c>
      <c r="N149" s="32">
        <v>0</v>
      </c>
      <c r="O149" s="32">
        <f>J149</f>
        <v>4200</v>
      </c>
      <c r="P149" s="32">
        <v>0</v>
      </c>
      <c r="Q149" s="27">
        <f t="shared" si="47"/>
        <v>5600</v>
      </c>
      <c r="R149" s="36">
        <f t="shared" si="48"/>
        <v>1</v>
      </c>
      <c r="S149" s="46"/>
      <c r="T149" s="26"/>
      <c r="U149" s="27"/>
      <c r="V149" s="27"/>
      <c r="W149" s="27"/>
      <c r="Y149" s="2"/>
    </row>
    <row r="150" spans="1:25" s="3" customFormat="1" ht="15.75">
      <c r="A150" s="43"/>
      <c r="B150" s="64" t="s">
        <v>307</v>
      </c>
      <c r="C150" s="57" t="s">
        <v>9</v>
      </c>
      <c r="D150" s="38"/>
      <c r="E150" s="37"/>
      <c r="F150" s="37"/>
      <c r="G150" s="38"/>
      <c r="H150" s="63">
        <v>700</v>
      </c>
      <c r="I150" s="32"/>
      <c r="J150" s="32">
        <v>2100</v>
      </c>
      <c r="K150" s="32">
        <v>0</v>
      </c>
      <c r="L150" s="27">
        <f t="shared" si="30"/>
        <v>2800</v>
      </c>
      <c r="M150" s="32">
        <f t="shared" si="46"/>
        <v>700</v>
      </c>
      <c r="N150" s="32">
        <v>0</v>
      </c>
      <c r="O150" s="32">
        <f>J150</f>
        <v>2100</v>
      </c>
      <c r="P150" s="32">
        <v>0</v>
      </c>
      <c r="Q150" s="27">
        <f t="shared" si="47"/>
        <v>2800</v>
      </c>
      <c r="R150" s="36">
        <f t="shared" si="48"/>
        <v>1</v>
      </c>
      <c r="S150" s="46"/>
      <c r="T150" s="26"/>
      <c r="U150" s="27"/>
      <c r="V150" s="27"/>
      <c r="W150" s="27"/>
      <c r="Y150" s="2"/>
    </row>
    <row r="151" spans="1:25" s="3" customFormat="1" ht="47.25">
      <c r="A151" s="43"/>
      <c r="B151" s="56" t="s">
        <v>308</v>
      </c>
      <c r="C151" s="57" t="s">
        <v>9</v>
      </c>
      <c r="D151" s="38"/>
      <c r="E151" s="37"/>
      <c r="F151" s="37"/>
      <c r="G151" s="38"/>
      <c r="H151" s="63">
        <f>7500+2680-132.4</f>
        <v>10047.6</v>
      </c>
      <c r="I151" s="32"/>
      <c r="J151" s="32"/>
      <c r="K151" s="32">
        <v>0</v>
      </c>
      <c r="L151" s="27">
        <f t="shared" si="30"/>
        <v>10047.6</v>
      </c>
      <c r="M151" s="32">
        <f t="shared" si="46"/>
        <v>10047.6</v>
      </c>
      <c r="N151" s="32">
        <v>0</v>
      </c>
      <c r="O151" s="32">
        <v>0</v>
      </c>
      <c r="P151" s="32">
        <v>0</v>
      </c>
      <c r="Q151" s="27">
        <f t="shared" si="47"/>
        <v>10047.6</v>
      </c>
      <c r="R151" s="36">
        <f t="shared" si="48"/>
        <v>1</v>
      </c>
      <c r="S151" s="46"/>
      <c r="T151" s="26"/>
      <c r="U151" s="27"/>
      <c r="V151" s="27"/>
      <c r="W151" s="27"/>
      <c r="Y151" s="2"/>
    </row>
    <row r="152" spans="1:25" s="3" customFormat="1" ht="31.5">
      <c r="A152" s="43"/>
      <c r="B152" s="56" t="s">
        <v>309</v>
      </c>
      <c r="C152" s="57" t="s">
        <v>9</v>
      </c>
      <c r="D152" s="38"/>
      <c r="E152" s="37"/>
      <c r="F152" s="37"/>
      <c r="G152" s="38"/>
      <c r="H152" s="63">
        <f>750+200+160</f>
        <v>1110</v>
      </c>
      <c r="I152" s="32"/>
      <c r="J152" s="32"/>
      <c r="K152" s="32">
        <v>0</v>
      </c>
      <c r="L152" s="27">
        <f t="shared" si="30"/>
        <v>1110</v>
      </c>
      <c r="M152" s="32">
        <f>H152-3</f>
        <v>1107</v>
      </c>
      <c r="N152" s="32">
        <v>0</v>
      </c>
      <c r="O152" s="32">
        <v>0</v>
      </c>
      <c r="P152" s="32">
        <v>0</v>
      </c>
      <c r="Q152" s="27">
        <f t="shared" si="47"/>
        <v>1107</v>
      </c>
      <c r="R152" s="36">
        <f t="shared" si="48"/>
        <v>0.9973</v>
      </c>
      <c r="S152" s="46"/>
      <c r="T152" s="26"/>
      <c r="U152" s="27"/>
      <c r="V152" s="27"/>
      <c r="W152" s="27"/>
      <c r="Y152" s="2"/>
    </row>
    <row r="153" spans="1:25" s="3" customFormat="1" ht="31.5">
      <c r="A153" s="43"/>
      <c r="B153" s="55" t="s">
        <v>310</v>
      </c>
      <c r="C153" s="38" t="s">
        <v>9</v>
      </c>
      <c r="D153" s="38"/>
      <c r="E153" s="37"/>
      <c r="F153" s="37"/>
      <c r="G153" s="38"/>
      <c r="H153" s="32">
        <f>1281.8-29.7-200-136-20.6-50.3-30-360-135-0.2+50</f>
        <v>370</v>
      </c>
      <c r="I153" s="32"/>
      <c r="J153" s="32"/>
      <c r="K153" s="32">
        <v>0</v>
      </c>
      <c r="L153" s="27">
        <f t="shared" si="30"/>
        <v>370</v>
      </c>
      <c r="M153" s="32">
        <f>H153</f>
        <v>370</v>
      </c>
      <c r="N153" s="32">
        <v>0</v>
      </c>
      <c r="O153" s="32">
        <v>0</v>
      </c>
      <c r="P153" s="32">
        <v>0</v>
      </c>
      <c r="Q153" s="27">
        <f t="shared" si="47"/>
        <v>370</v>
      </c>
      <c r="R153" s="36">
        <f t="shared" si="48"/>
        <v>1</v>
      </c>
      <c r="S153" s="46"/>
      <c r="T153" s="26"/>
      <c r="U153" s="27"/>
      <c r="V153" s="27"/>
      <c r="W153" s="27"/>
      <c r="Y153" s="2"/>
    </row>
    <row r="154" spans="1:25" s="3" customFormat="1" ht="31.5">
      <c r="A154" s="43"/>
      <c r="B154" s="56" t="s">
        <v>311</v>
      </c>
      <c r="C154" s="57" t="s">
        <v>9</v>
      </c>
      <c r="D154" s="38"/>
      <c r="E154" s="37"/>
      <c r="F154" s="37"/>
      <c r="G154" s="38"/>
      <c r="H154" s="63">
        <f>400+50.3+30</f>
        <v>480.3</v>
      </c>
      <c r="I154" s="32"/>
      <c r="J154" s="32"/>
      <c r="K154" s="32">
        <v>0</v>
      </c>
      <c r="L154" s="27">
        <f t="shared" si="30"/>
        <v>480.3</v>
      </c>
      <c r="M154" s="32">
        <f>H154-0.5</f>
        <v>479.8</v>
      </c>
      <c r="N154" s="32">
        <v>0</v>
      </c>
      <c r="O154" s="32">
        <v>0</v>
      </c>
      <c r="P154" s="32">
        <v>0</v>
      </c>
      <c r="Q154" s="27">
        <f t="shared" si="47"/>
        <v>479.8</v>
      </c>
      <c r="R154" s="36">
        <f t="shared" si="48"/>
        <v>0.999</v>
      </c>
      <c r="S154" s="46"/>
      <c r="T154" s="26"/>
      <c r="U154" s="27"/>
      <c r="V154" s="27"/>
      <c r="W154" s="27"/>
      <c r="Y154" s="2"/>
    </row>
    <row r="155" spans="1:25" s="3" customFormat="1" ht="47.25">
      <c r="A155" s="43"/>
      <c r="B155" s="56" t="s">
        <v>312</v>
      </c>
      <c r="C155" s="57" t="s">
        <v>9</v>
      </c>
      <c r="D155" s="38"/>
      <c r="E155" s="37"/>
      <c r="F155" s="37"/>
      <c r="G155" s="38"/>
      <c r="H155" s="63">
        <f>400+141.4+188.6</f>
        <v>730</v>
      </c>
      <c r="I155" s="32"/>
      <c r="J155" s="32"/>
      <c r="K155" s="32">
        <v>0</v>
      </c>
      <c r="L155" s="27">
        <f t="shared" si="30"/>
        <v>730</v>
      </c>
      <c r="M155" s="32">
        <f t="shared" si="46"/>
        <v>730</v>
      </c>
      <c r="N155" s="32">
        <v>0</v>
      </c>
      <c r="O155" s="32">
        <v>0</v>
      </c>
      <c r="P155" s="32">
        <v>0</v>
      </c>
      <c r="Q155" s="27">
        <f t="shared" si="47"/>
        <v>730</v>
      </c>
      <c r="R155" s="36">
        <f t="shared" si="48"/>
        <v>1</v>
      </c>
      <c r="S155" s="46"/>
      <c r="T155" s="26"/>
      <c r="U155" s="27"/>
      <c r="V155" s="27"/>
      <c r="W155" s="27"/>
      <c r="Y155" s="2"/>
    </row>
    <row r="156" spans="1:25" s="3" customFormat="1" ht="47.25">
      <c r="A156" s="43"/>
      <c r="B156" s="56" t="s">
        <v>313</v>
      </c>
      <c r="C156" s="57" t="s">
        <v>9</v>
      </c>
      <c r="D156" s="38"/>
      <c r="E156" s="37"/>
      <c r="F156" s="37"/>
      <c r="G156" s="38"/>
      <c r="H156" s="63">
        <f>70+100+135</f>
        <v>305</v>
      </c>
      <c r="I156" s="32"/>
      <c r="J156" s="32"/>
      <c r="K156" s="32">
        <v>0</v>
      </c>
      <c r="L156" s="27">
        <f t="shared" si="30"/>
        <v>305</v>
      </c>
      <c r="M156" s="32">
        <f t="shared" si="46"/>
        <v>305</v>
      </c>
      <c r="N156" s="32">
        <v>0</v>
      </c>
      <c r="O156" s="32">
        <v>0</v>
      </c>
      <c r="P156" s="32">
        <v>0</v>
      </c>
      <c r="Q156" s="27">
        <f t="shared" si="47"/>
        <v>305</v>
      </c>
      <c r="R156" s="36">
        <f t="shared" si="48"/>
        <v>1</v>
      </c>
      <c r="S156" s="46"/>
      <c r="T156" s="26"/>
      <c r="U156" s="27"/>
      <c r="V156" s="27"/>
      <c r="W156" s="27"/>
      <c r="Y156" s="2"/>
    </row>
    <row r="157" spans="1:25" s="3" customFormat="1" ht="31.5">
      <c r="A157" s="43"/>
      <c r="B157" s="56" t="s">
        <v>314</v>
      </c>
      <c r="C157" s="57" t="s">
        <v>9</v>
      </c>
      <c r="D157" s="38"/>
      <c r="E157" s="37"/>
      <c r="F157" s="37"/>
      <c r="G157" s="38"/>
      <c r="H157" s="63">
        <v>80</v>
      </c>
      <c r="I157" s="32"/>
      <c r="J157" s="32"/>
      <c r="K157" s="32">
        <v>0</v>
      </c>
      <c r="L157" s="27">
        <f t="shared" si="30"/>
        <v>80</v>
      </c>
      <c r="M157" s="32">
        <f t="shared" si="46"/>
        <v>80</v>
      </c>
      <c r="N157" s="32">
        <v>0</v>
      </c>
      <c r="O157" s="32">
        <v>0</v>
      </c>
      <c r="P157" s="32">
        <v>0</v>
      </c>
      <c r="Q157" s="27">
        <f t="shared" si="47"/>
        <v>80</v>
      </c>
      <c r="R157" s="36">
        <f t="shared" si="48"/>
        <v>1</v>
      </c>
      <c r="S157" s="46"/>
      <c r="T157" s="26"/>
      <c r="U157" s="27"/>
      <c r="V157" s="27"/>
      <c r="W157" s="27"/>
      <c r="Y157" s="2"/>
    </row>
    <row r="158" spans="1:25" s="3" customFormat="1" ht="47.25">
      <c r="A158" s="43"/>
      <c r="B158" s="56" t="s">
        <v>315</v>
      </c>
      <c r="C158" s="57" t="s">
        <v>9</v>
      </c>
      <c r="D158" s="38"/>
      <c r="E158" s="37"/>
      <c r="F158" s="37"/>
      <c r="G158" s="38"/>
      <c r="H158" s="63">
        <f>100+468.9</f>
        <v>568.9</v>
      </c>
      <c r="I158" s="32"/>
      <c r="J158" s="32"/>
      <c r="K158" s="32">
        <v>0</v>
      </c>
      <c r="L158" s="27">
        <f t="shared" si="30"/>
        <v>568.9</v>
      </c>
      <c r="M158" s="32">
        <f t="shared" si="46"/>
        <v>568.9</v>
      </c>
      <c r="N158" s="32">
        <v>0</v>
      </c>
      <c r="O158" s="32">
        <f aca="true" t="shared" si="49" ref="O158:O164">J158</f>
        <v>0</v>
      </c>
      <c r="P158" s="32">
        <v>0</v>
      </c>
      <c r="Q158" s="27">
        <f t="shared" si="47"/>
        <v>568.9</v>
      </c>
      <c r="R158" s="36">
        <f t="shared" si="48"/>
        <v>1</v>
      </c>
      <c r="S158" s="46"/>
      <c r="T158" s="26"/>
      <c r="U158" s="27"/>
      <c r="V158" s="27"/>
      <c r="W158" s="27"/>
      <c r="Y158" s="2"/>
    </row>
    <row r="159" spans="1:25" s="3" customFormat="1" ht="47.25">
      <c r="A159" s="43"/>
      <c r="B159" s="56" t="s">
        <v>316</v>
      </c>
      <c r="C159" s="57" t="s">
        <v>9</v>
      </c>
      <c r="D159" s="38"/>
      <c r="E159" s="37"/>
      <c r="F159" s="37"/>
      <c r="G159" s="38"/>
      <c r="H159" s="63">
        <f>50+100</f>
        <v>150</v>
      </c>
      <c r="I159" s="32"/>
      <c r="J159" s="32"/>
      <c r="K159" s="32">
        <v>0</v>
      </c>
      <c r="L159" s="27">
        <f t="shared" si="30"/>
        <v>150</v>
      </c>
      <c r="M159" s="32">
        <f t="shared" si="46"/>
        <v>150</v>
      </c>
      <c r="N159" s="32">
        <v>0</v>
      </c>
      <c r="O159" s="32">
        <f t="shared" si="49"/>
        <v>0</v>
      </c>
      <c r="P159" s="32">
        <v>0</v>
      </c>
      <c r="Q159" s="27">
        <f t="shared" si="47"/>
        <v>150</v>
      </c>
      <c r="R159" s="36">
        <f t="shared" si="48"/>
        <v>1</v>
      </c>
      <c r="S159" s="46"/>
      <c r="T159" s="26"/>
      <c r="U159" s="27"/>
      <c r="V159" s="27"/>
      <c r="W159" s="27"/>
      <c r="Y159" s="2"/>
    </row>
    <row r="160" spans="1:25" s="3" customFormat="1" ht="31.5">
      <c r="A160" s="43"/>
      <c r="B160" s="56" t="s">
        <v>317</v>
      </c>
      <c r="C160" s="57" t="s">
        <v>9</v>
      </c>
      <c r="D160" s="38"/>
      <c r="E160" s="37"/>
      <c r="F160" s="37"/>
      <c r="G160" s="38"/>
      <c r="H160" s="63">
        <v>70</v>
      </c>
      <c r="I160" s="32"/>
      <c r="J160" s="32"/>
      <c r="K160" s="32">
        <v>0</v>
      </c>
      <c r="L160" s="27">
        <f t="shared" si="30"/>
        <v>70</v>
      </c>
      <c r="M160" s="32">
        <f t="shared" si="46"/>
        <v>70</v>
      </c>
      <c r="N160" s="32">
        <v>0</v>
      </c>
      <c r="O160" s="32">
        <f t="shared" si="49"/>
        <v>0</v>
      </c>
      <c r="P160" s="32">
        <v>0</v>
      </c>
      <c r="Q160" s="27">
        <f t="shared" si="47"/>
        <v>70</v>
      </c>
      <c r="R160" s="36">
        <f t="shared" si="48"/>
        <v>1</v>
      </c>
      <c r="S160" s="46"/>
      <c r="T160" s="26"/>
      <c r="U160" s="27"/>
      <c r="V160" s="27"/>
      <c r="W160" s="27"/>
      <c r="Y160" s="2"/>
    </row>
    <row r="161" spans="1:25" s="3" customFormat="1" ht="47.25">
      <c r="A161" s="43"/>
      <c r="B161" s="56" t="s">
        <v>318</v>
      </c>
      <c r="C161" s="57" t="s">
        <v>9</v>
      </c>
      <c r="D161" s="38"/>
      <c r="E161" s="37"/>
      <c r="F161" s="37"/>
      <c r="G161" s="38"/>
      <c r="H161" s="63">
        <v>150</v>
      </c>
      <c r="I161" s="32"/>
      <c r="J161" s="32"/>
      <c r="K161" s="32">
        <v>0</v>
      </c>
      <c r="L161" s="27">
        <f t="shared" si="30"/>
        <v>150</v>
      </c>
      <c r="M161" s="32">
        <f t="shared" si="46"/>
        <v>150</v>
      </c>
      <c r="N161" s="32">
        <v>0</v>
      </c>
      <c r="O161" s="32">
        <f t="shared" si="49"/>
        <v>0</v>
      </c>
      <c r="P161" s="32">
        <v>0</v>
      </c>
      <c r="Q161" s="27">
        <f t="shared" si="47"/>
        <v>150</v>
      </c>
      <c r="R161" s="36">
        <f t="shared" si="48"/>
        <v>1</v>
      </c>
      <c r="S161" s="46"/>
      <c r="T161" s="26"/>
      <c r="U161" s="27"/>
      <c r="V161" s="27"/>
      <c r="W161" s="27"/>
      <c r="Y161" s="2"/>
    </row>
    <row r="162" spans="1:25" s="3" customFormat="1" ht="47.25">
      <c r="A162" s="43"/>
      <c r="B162" s="55" t="s">
        <v>319</v>
      </c>
      <c r="C162" s="38" t="s">
        <v>9</v>
      </c>
      <c r="D162" s="38"/>
      <c r="E162" s="37"/>
      <c r="F162" s="37"/>
      <c r="G162" s="38"/>
      <c r="H162" s="32">
        <f>100+100+28</f>
        <v>228</v>
      </c>
      <c r="I162" s="32"/>
      <c r="J162" s="32"/>
      <c r="K162" s="32">
        <v>0</v>
      </c>
      <c r="L162" s="27">
        <f t="shared" si="30"/>
        <v>228</v>
      </c>
      <c r="M162" s="32">
        <f t="shared" si="46"/>
        <v>228</v>
      </c>
      <c r="N162" s="32">
        <v>0</v>
      </c>
      <c r="O162" s="32">
        <f t="shared" si="49"/>
        <v>0</v>
      </c>
      <c r="P162" s="32">
        <v>0</v>
      </c>
      <c r="Q162" s="27">
        <f t="shared" si="47"/>
        <v>228</v>
      </c>
      <c r="R162" s="36">
        <f t="shared" si="48"/>
        <v>1</v>
      </c>
      <c r="S162" s="46"/>
      <c r="T162" s="26"/>
      <c r="U162" s="27"/>
      <c r="V162" s="27"/>
      <c r="W162" s="27"/>
      <c r="Y162" s="2"/>
    </row>
    <row r="163" spans="1:25" s="3" customFormat="1" ht="47.25">
      <c r="A163" s="43"/>
      <c r="B163" s="55" t="s">
        <v>320</v>
      </c>
      <c r="C163" s="38" t="s">
        <v>9</v>
      </c>
      <c r="D163" s="38"/>
      <c r="E163" s="37"/>
      <c r="F163" s="37"/>
      <c r="G163" s="38"/>
      <c r="H163" s="32">
        <f>90+150+25</f>
        <v>265</v>
      </c>
      <c r="I163" s="32"/>
      <c r="J163" s="32"/>
      <c r="K163" s="32">
        <v>0</v>
      </c>
      <c r="L163" s="27">
        <f t="shared" si="30"/>
        <v>265</v>
      </c>
      <c r="M163" s="32">
        <f t="shared" si="46"/>
        <v>265</v>
      </c>
      <c r="N163" s="32">
        <v>0</v>
      </c>
      <c r="O163" s="32">
        <f t="shared" si="49"/>
        <v>0</v>
      </c>
      <c r="P163" s="32">
        <v>0</v>
      </c>
      <c r="Q163" s="27">
        <f t="shared" si="47"/>
        <v>265</v>
      </c>
      <c r="R163" s="36">
        <f t="shared" si="48"/>
        <v>1</v>
      </c>
      <c r="S163" s="46"/>
      <c r="T163" s="26"/>
      <c r="U163" s="27"/>
      <c r="V163" s="27"/>
      <c r="W163" s="27"/>
      <c r="Y163" s="2"/>
    </row>
    <row r="164" spans="1:25" s="3" customFormat="1" ht="47.25">
      <c r="A164" s="43"/>
      <c r="B164" s="55" t="s">
        <v>321</v>
      </c>
      <c r="C164" s="38" t="s">
        <v>9</v>
      </c>
      <c r="D164" s="38"/>
      <c r="E164" s="37"/>
      <c r="F164" s="37"/>
      <c r="G164" s="38"/>
      <c r="H164" s="32">
        <f>70+200</f>
        <v>270</v>
      </c>
      <c r="I164" s="32"/>
      <c r="J164" s="32"/>
      <c r="K164" s="32">
        <v>0</v>
      </c>
      <c r="L164" s="27">
        <f t="shared" si="30"/>
        <v>270</v>
      </c>
      <c r="M164" s="32">
        <f t="shared" si="46"/>
        <v>270</v>
      </c>
      <c r="N164" s="32">
        <v>0</v>
      </c>
      <c r="O164" s="32">
        <f t="shared" si="49"/>
        <v>0</v>
      </c>
      <c r="P164" s="32">
        <v>0</v>
      </c>
      <c r="Q164" s="27">
        <f t="shared" si="47"/>
        <v>270</v>
      </c>
      <c r="R164" s="36">
        <f t="shared" si="48"/>
        <v>1</v>
      </c>
      <c r="S164" s="46"/>
      <c r="T164" s="26"/>
      <c r="U164" s="27"/>
      <c r="V164" s="27"/>
      <c r="W164" s="27"/>
      <c r="Y164" s="2"/>
    </row>
    <row r="165" spans="1:25" s="3" customFormat="1" ht="47.25">
      <c r="A165" s="43" t="s">
        <v>216</v>
      </c>
      <c r="B165" s="55" t="s">
        <v>322</v>
      </c>
      <c r="C165" s="38" t="s">
        <v>9</v>
      </c>
      <c r="D165" s="38">
        <v>774</v>
      </c>
      <c r="E165" s="37" t="s">
        <v>7</v>
      </c>
      <c r="F165" s="37" t="s">
        <v>132</v>
      </c>
      <c r="G165" s="38">
        <v>600</v>
      </c>
      <c r="H165" s="32">
        <f>80+30</f>
        <v>110</v>
      </c>
      <c r="I165" s="32">
        <v>0</v>
      </c>
      <c r="J165" s="32">
        <v>0</v>
      </c>
      <c r="K165" s="32">
        <v>0</v>
      </c>
      <c r="L165" s="27">
        <f aca="true" t="shared" si="50" ref="L165:L211">H165+I165+J165+K165</f>
        <v>110</v>
      </c>
      <c r="M165" s="32">
        <f aca="true" t="shared" si="51" ref="M165:M201">H165</f>
        <v>110</v>
      </c>
      <c r="N165" s="32">
        <v>0</v>
      </c>
      <c r="O165" s="32">
        <f aca="true" t="shared" si="52" ref="O165:O171">J165</f>
        <v>0</v>
      </c>
      <c r="P165" s="32">
        <v>0</v>
      </c>
      <c r="Q165" s="27">
        <f t="shared" si="47"/>
        <v>110</v>
      </c>
      <c r="R165" s="36">
        <f t="shared" si="48"/>
        <v>1</v>
      </c>
      <c r="S165" s="46">
        <f t="shared" si="42"/>
        <v>0</v>
      </c>
      <c r="T165" s="26"/>
      <c r="U165" s="27">
        <f t="shared" si="43"/>
        <v>0</v>
      </c>
      <c r="V165" s="27">
        <f t="shared" si="44"/>
        <v>0</v>
      </c>
      <c r="W165" s="27">
        <f t="shared" si="45"/>
        <v>0</v>
      </c>
      <c r="Y165" s="2"/>
    </row>
    <row r="166" spans="1:25" s="3" customFormat="1" ht="47.25">
      <c r="A166" s="43" t="s">
        <v>217</v>
      </c>
      <c r="B166" s="55" t="s">
        <v>323</v>
      </c>
      <c r="C166" s="38" t="s">
        <v>9</v>
      </c>
      <c r="D166" s="38">
        <v>774</v>
      </c>
      <c r="E166" s="37" t="s">
        <v>7</v>
      </c>
      <c r="F166" s="37" t="s">
        <v>132</v>
      </c>
      <c r="G166" s="38">
        <v>600</v>
      </c>
      <c r="H166" s="32">
        <f>110+250+100</f>
        <v>460</v>
      </c>
      <c r="I166" s="32">
        <v>0</v>
      </c>
      <c r="J166" s="32">
        <v>0</v>
      </c>
      <c r="K166" s="32">
        <v>0</v>
      </c>
      <c r="L166" s="27">
        <f t="shared" si="50"/>
        <v>460</v>
      </c>
      <c r="M166" s="32">
        <f t="shared" si="51"/>
        <v>460</v>
      </c>
      <c r="N166" s="32">
        <v>0</v>
      </c>
      <c r="O166" s="32">
        <f t="shared" si="52"/>
        <v>0</v>
      </c>
      <c r="P166" s="32">
        <v>0</v>
      </c>
      <c r="Q166" s="27">
        <f t="shared" si="47"/>
        <v>460</v>
      </c>
      <c r="R166" s="36">
        <f t="shared" si="48"/>
        <v>1</v>
      </c>
      <c r="S166" s="46">
        <f t="shared" si="42"/>
        <v>0</v>
      </c>
      <c r="T166" s="26"/>
      <c r="U166" s="27">
        <f t="shared" si="43"/>
        <v>0</v>
      </c>
      <c r="V166" s="27">
        <f t="shared" si="44"/>
        <v>0</v>
      </c>
      <c r="W166" s="27">
        <f t="shared" si="45"/>
        <v>0</v>
      </c>
      <c r="Y166" s="2"/>
    </row>
    <row r="167" spans="1:25" s="3" customFormat="1" ht="63">
      <c r="A167" s="43" t="s">
        <v>161</v>
      </c>
      <c r="B167" s="55" t="s">
        <v>324</v>
      </c>
      <c r="C167" s="38" t="s">
        <v>9</v>
      </c>
      <c r="D167" s="38">
        <v>774</v>
      </c>
      <c r="E167" s="37" t="s">
        <v>7</v>
      </c>
      <c r="F167" s="37" t="s">
        <v>132</v>
      </c>
      <c r="G167" s="38">
        <v>600</v>
      </c>
      <c r="H167" s="32">
        <f>240+100+389.6+100</f>
        <v>829.6</v>
      </c>
      <c r="I167" s="32">
        <v>0</v>
      </c>
      <c r="J167" s="32">
        <v>0</v>
      </c>
      <c r="K167" s="32">
        <v>0</v>
      </c>
      <c r="L167" s="27">
        <f t="shared" si="50"/>
        <v>829.6</v>
      </c>
      <c r="M167" s="32">
        <f t="shared" si="51"/>
        <v>829.6</v>
      </c>
      <c r="N167" s="32">
        <v>0</v>
      </c>
      <c r="O167" s="32">
        <f t="shared" si="52"/>
        <v>0</v>
      </c>
      <c r="P167" s="32">
        <v>0</v>
      </c>
      <c r="Q167" s="27">
        <f t="shared" si="40"/>
        <v>829.6</v>
      </c>
      <c r="R167" s="36">
        <f t="shared" si="41"/>
        <v>1</v>
      </c>
      <c r="S167" s="46">
        <f t="shared" si="42"/>
        <v>0</v>
      </c>
      <c r="T167" s="26"/>
      <c r="U167" s="27">
        <f t="shared" si="43"/>
        <v>0</v>
      </c>
      <c r="V167" s="27">
        <f t="shared" si="44"/>
        <v>0</v>
      </c>
      <c r="W167" s="27">
        <f t="shared" si="45"/>
        <v>0</v>
      </c>
      <c r="Y167" s="2"/>
    </row>
    <row r="168" spans="1:25" s="3" customFormat="1" ht="31.5">
      <c r="A168" s="43" t="s">
        <v>162</v>
      </c>
      <c r="B168" s="55" t="s">
        <v>325</v>
      </c>
      <c r="C168" s="38" t="s">
        <v>9</v>
      </c>
      <c r="D168" s="38">
        <v>774</v>
      </c>
      <c r="E168" s="37" t="s">
        <v>7</v>
      </c>
      <c r="F168" s="37" t="s">
        <v>132</v>
      </c>
      <c r="G168" s="38">
        <v>600</v>
      </c>
      <c r="H168" s="32">
        <f>110+200</f>
        <v>310</v>
      </c>
      <c r="I168" s="32">
        <v>0</v>
      </c>
      <c r="J168" s="32">
        <v>0</v>
      </c>
      <c r="K168" s="32">
        <v>0</v>
      </c>
      <c r="L168" s="27">
        <f t="shared" si="50"/>
        <v>310</v>
      </c>
      <c r="M168" s="32">
        <f t="shared" si="51"/>
        <v>310</v>
      </c>
      <c r="N168" s="32">
        <v>0</v>
      </c>
      <c r="O168" s="32">
        <f t="shared" si="52"/>
        <v>0</v>
      </c>
      <c r="P168" s="32">
        <v>0</v>
      </c>
      <c r="Q168" s="27">
        <f t="shared" si="40"/>
        <v>310</v>
      </c>
      <c r="R168" s="36">
        <f t="shared" si="41"/>
        <v>1</v>
      </c>
      <c r="S168" s="46">
        <f t="shared" si="42"/>
        <v>0</v>
      </c>
      <c r="T168" s="26"/>
      <c r="U168" s="27">
        <f t="shared" si="43"/>
        <v>0</v>
      </c>
      <c r="V168" s="27">
        <f t="shared" si="44"/>
        <v>0</v>
      </c>
      <c r="W168" s="27">
        <f t="shared" si="45"/>
        <v>0</v>
      </c>
      <c r="Y168" s="2"/>
    </row>
    <row r="169" spans="1:25" s="3" customFormat="1" ht="31.5">
      <c r="A169" s="43" t="s">
        <v>163</v>
      </c>
      <c r="B169" s="55" t="s">
        <v>326</v>
      </c>
      <c r="C169" s="38" t="s">
        <v>9</v>
      </c>
      <c r="D169" s="38">
        <v>774</v>
      </c>
      <c r="E169" s="37" t="s">
        <v>8</v>
      </c>
      <c r="F169" s="37" t="s">
        <v>132</v>
      </c>
      <c r="G169" s="38">
        <v>200</v>
      </c>
      <c r="H169" s="32">
        <v>50</v>
      </c>
      <c r="I169" s="32">
        <v>0</v>
      </c>
      <c r="J169" s="32">
        <v>0</v>
      </c>
      <c r="K169" s="32">
        <v>0</v>
      </c>
      <c r="L169" s="27">
        <f t="shared" si="50"/>
        <v>50</v>
      </c>
      <c r="M169" s="32">
        <f t="shared" si="51"/>
        <v>50</v>
      </c>
      <c r="N169" s="32">
        <v>0</v>
      </c>
      <c r="O169" s="32">
        <f t="shared" si="52"/>
        <v>0</v>
      </c>
      <c r="P169" s="32">
        <v>0</v>
      </c>
      <c r="Q169" s="27">
        <f t="shared" si="40"/>
        <v>50</v>
      </c>
      <c r="R169" s="36">
        <f t="shared" si="41"/>
        <v>1</v>
      </c>
      <c r="S169" s="46">
        <f t="shared" si="42"/>
        <v>0</v>
      </c>
      <c r="T169" s="26"/>
      <c r="U169" s="27">
        <f t="shared" si="43"/>
        <v>0</v>
      </c>
      <c r="V169" s="27">
        <f t="shared" si="44"/>
        <v>0</v>
      </c>
      <c r="W169" s="27">
        <f t="shared" si="45"/>
        <v>0</v>
      </c>
      <c r="Y169" s="2"/>
    </row>
    <row r="170" spans="1:25" s="3" customFormat="1" ht="47.25">
      <c r="A170" s="43" t="s">
        <v>164</v>
      </c>
      <c r="B170" s="55" t="s">
        <v>327</v>
      </c>
      <c r="C170" s="38" t="s">
        <v>9</v>
      </c>
      <c r="D170" s="38">
        <v>774</v>
      </c>
      <c r="E170" s="37" t="s">
        <v>7</v>
      </c>
      <c r="F170" s="37" t="s">
        <v>132</v>
      </c>
      <c r="G170" s="38">
        <v>600</v>
      </c>
      <c r="H170" s="32">
        <f>80+200+30</f>
        <v>310</v>
      </c>
      <c r="I170" s="32">
        <v>0</v>
      </c>
      <c r="J170" s="32">
        <v>0</v>
      </c>
      <c r="K170" s="32">
        <v>0</v>
      </c>
      <c r="L170" s="27">
        <f t="shared" si="50"/>
        <v>310</v>
      </c>
      <c r="M170" s="32">
        <f t="shared" si="51"/>
        <v>310</v>
      </c>
      <c r="N170" s="32">
        <v>0</v>
      </c>
      <c r="O170" s="32">
        <f t="shared" si="52"/>
        <v>0</v>
      </c>
      <c r="P170" s="32">
        <v>0</v>
      </c>
      <c r="Q170" s="27">
        <f t="shared" si="40"/>
        <v>310</v>
      </c>
      <c r="R170" s="36">
        <f t="shared" si="41"/>
        <v>1</v>
      </c>
      <c r="S170" s="46">
        <f t="shared" si="42"/>
        <v>0</v>
      </c>
      <c r="T170" s="26"/>
      <c r="U170" s="27">
        <f t="shared" si="43"/>
        <v>0</v>
      </c>
      <c r="V170" s="27">
        <f t="shared" si="44"/>
        <v>0</v>
      </c>
      <c r="W170" s="27">
        <f t="shared" si="45"/>
        <v>0</v>
      </c>
      <c r="Y170" s="2"/>
    </row>
    <row r="171" spans="1:25" s="3" customFormat="1" ht="31.5">
      <c r="A171" s="43" t="s">
        <v>165</v>
      </c>
      <c r="B171" s="55" t="s">
        <v>328</v>
      </c>
      <c r="C171" s="38" t="s">
        <v>9</v>
      </c>
      <c r="D171" s="38">
        <v>774</v>
      </c>
      <c r="E171" s="37" t="s">
        <v>7</v>
      </c>
      <c r="F171" s="37" t="s">
        <v>132</v>
      </c>
      <c r="G171" s="38">
        <v>600</v>
      </c>
      <c r="H171" s="32">
        <f>350+285</f>
        <v>635</v>
      </c>
      <c r="I171" s="32">
        <v>0</v>
      </c>
      <c r="J171" s="32">
        <v>0</v>
      </c>
      <c r="K171" s="32">
        <v>0</v>
      </c>
      <c r="L171" s="27">
        <f t="shared" si="50"/>
        <v>635</v>
      </c>
      <c r="M171" s="32">
        <v>635</v>
      </c>
      <c r="N171" s="32">
        <v>0</v>
      </c>
      <c r="O171" s="32">
        <f t="shared" si="52"/>
        <v>0</v>
      </c>
      <c r="P171" s="32">
        <v>0</v>
      </c>
      <c r="Q171" s="27">
        <f t="shared" si="40"/>
        <v>635</v>
      </c>
      <c r="R171" s="36">
        <f t="shared" si="41"/>
        <v>1</v>
      </c>
      <c r="S171" s="46">
        <f t="shared" si="42"/>
        <v>0</v>
      </c>
      <c r="T171" s="26"/>
      <c r="U171" s="27">
        <f t="shared" si="43"/>
        <v>0</v>
      </c>
      <c r="V171" s="27">
        <f t="shared" si="44"/>
        <v>0</v>
      </c>
      <c r="W171" s="27">
        <f t="shared" si="45"/>
        <v>0</v>
      </c>
      <c r="Y171" s="2"/>
    </row>
    <row r="172" spans="1:25" s="3" customFormat="1" ht="63">
      <c r="A172" s="43" t="s">
        <v>166</v>
      </c>
      <c r="B172" s="55" t="s">
        <v>329</v>
      </c>
      <c r="C172" s="38" t="s">
        <v>9</v>
      </c>
      <c r="D172" s="38">
        <v>774</v>
      </c>
      <c r="E172" s="37" t="s">
        <v>6</v>
      </c>
      <c r="F172" s="37" t="s">
        <v>132</v>
      </c>
      <c r="G172" s="38">
        <v>600</v>
      </c>
      <c r="H172" s="32">
        <f>150+600</f>
        <v>750</v>
      </c>
      <c r="I172" s="32">
        <v>0</v>
      </c>
      <c r="J172" s="32">
        <v>0</v>
      </c>
      <c r="K172" s="32">
        <v>0</v>
      </c>
      <c r="L172" s="27">
        <f t="shared" si="50"/>
        <v>750</v>
      </c>
      <c r="M172" s="32">
        <f>H172-50</f>
        <v>700</v>
      </c>
      <c r="N172" s="32">
        <v>0</v>
      </c>
      <c r="O172" s="32">
        <f aca="true" t="shared" si="53" ref="O172:O201">J172</f>
        <v>0</v>
      </c>
      <c r="P172" s="32">
        <v>0</v>
      </c>
      <c r="Q172" s="27">
        <f t="shared" si="40"/>
        <v>700</v>
      </c>
      <c r="R172" s="36">
        <f t="shared" si="41"/>
        <v>0.9333</v>
      </c>
      <c r="S172" s="46">
        <f t="shared" si="42"/>
        <v>50</v>
      </c>
      <c r="T172" s="26"/>
      <c r="U172" s="27">
        <f t="shared" si="43"/>
        <v>0</v>
      </c>
      <c r="V172" s="27">
        <f t="shared" si="44"/>
        <v>0</v>
      </c>
      <c r="W172" s="27">
        <f t="shared" si="45"/>
        <v>50</v>
      </c>
      <c r="Y172" s="2"/>
    </row>
    <row r="173" spans="1:25" s="3" customFormat="1" ht="47.25">
      <c r="A173" s="43" t="s">
        <v>167</v>
      </c>
      <c r="B173" s="55" t="s">
        <v>330</v>
      </c>
      <c r="C173" s="38" t="s">
        <v>9</v>
      </c>
      <c r="D173" s="38">
        <v>774</v>
      </c>
      <c r="E173" s="37" t="s">
        <v>6</v>
      </c>
      <c r="F173" s="37" t="s">
        <v>132</v>
      </c>
      <c r="G173" s="38">
        <v>600</v>
      </c>
      <c r="H173" s="32">
        <f>100+350+50</f>
        <v>500</v>
      </c>
      <c r="I173" s="32">
        <v>0</v>
      </c>
      <c r="J173" s="32">
        <v>0</v>
      </c>
      <c r="K173" s="32">
        <v>0</v>
      </c>
      <c r="L173" s="27">
        <f t="shared" si="50"/>
        <v>500</v>
      </c>
      <c r="M173" s="32">
        <f t="shared" si="51"/>
        <v>500</v>
      </c>
      <c r="N173" s="32">
        <v>0</v>
      </c>
      <c r="O173" s="32">
        <f t="shared" si="53"/>
        <v>0</v>
      </c>
      <c r="P173" s="32">
        <v>0</v>
      </c>
      <c r="Q173" s="27">
        <f t="shared" si="40"/>
        <v>500</v>
      </c>
      <c r="R173" s="36">
        <f t="shared" si="41"/>
        <v>1</v>
      </c>
      <c r="S173" s="46">
        <f t="shared" si="42"/>
        <v>0</v>
      </c>
      <c r="T173" s="26"/>
      <c r="U173" s="27">
        <f t="shared" si="43"/>
        <v>0</v>
      </c>
      <c r="V173" s="27">
        <f t="shared" si="44"/>
        <v>0</v>
      </c>
      <c r="W173" s="27">
        <f t="shared" si="45"/>
        <v>0</v>
      </c>
      <c r="Y173" s="2"/>
    </row>
    <row r="174" spans="1:25" s="3" customFormat="1" ht="47.25">
      <c r="A174" s="43" t="s">
        <v>168</v>
      </c>
      <c r="B174" s="55" t="s">
        <v>331</v>
      </c>
      <c r="C174" s="38" t="s">
        <v>9</v>
      </c>
      <c r="D174" s="38">
        <v>774</v>
      </c>
      <c r="E174" s="37" t="s">
        <v>7</v>
      </c>
      <c r="F174" s="37" t="s">
        <v>132</v>
      </c>
      <c r="G174" s="38">
        <v>600</v>
      </c>
      <c r="H174" s="32">
        <f>450+200</f>
        <v>650</v>
      </c>
      <c r="I174" s="32">
        <v>0</v>
      </c>
      <c r="J174" s="32">
        <v>0</v>
      </c>
      <c r="K174" s="32">
        <v>0</v>
      </c>
      <c r="L174" s="27">
        <f t="shared" si="50"/>
        <v>650</v>
      </c>
      <c r="M174" s="32">
        <f t="shared" si="51"/>
        <v>650</v>
      </c>
      <c r="N174" s="32">
        <v>0</v>
      </c>
      <c r="O174" s="32">
        <f t="shared" si="53"/>
        <v>0</v>
      </c>
      <c r="P174" s="32">
        <v>0</v>
      </c>
      <c r="Q174" s="27">
        <f t="shared" si="40"/>
        <v>650</v>
      </c>
      <c r="R174" s="36">
        <f t="shared" si="41"/>
        <v>1</v>
      </c>
      <c r="S174" s="46">
        <f t="shared" si="42"/>
        <v>0</v>
      </c>
      <c r="T174" s="26"/>
      <c r="U174" s="27">
        <f t="shared" si="43"/>
        <v>0</v>
      </c>
      <c r="V174" s="27">
        <f t="shared" si="44"/>
        <v>0</v>
      </c>
      <c r="W174" s="27">
        <f t="shared" si="45"/>
        <v>0</v>
      </c>
      <c r="Y174" s="2"/>
    </row>
    <row r="175" spans="1:25" s="3" customFormat="1" ht="35.25" customHeight="1">
      <c r="A175" s="43" t="s">
        <v>169</v>
      </c>
      <c r="B175" s="55" t="s">
        <v>332</v>
      </c>
      <c r="C175" s="38" t="s">
        <v>9</v>
      </c>
      <c r="D175" s="38">
        <v>774</v>
      </c>
      <c r="E175" s="37" t="s">
        <v>6</v>
      </c>
      <c r="F175" s="37" t="s">
        <v>132</v>
      </c>
      <c r="G175" s="38">
        <v>600</v>
      </c>
      <c r="H175" s="32">
        <f>150+25</f>
        <v>175</v>
      </c>
      <c r="I175" s="32">
        <v>0</v>
      </c>
      <c r="J175" s="32">
        <v>0</v>
      </c>
      <c r="K175" s="32">
        <v>0</v>
      </c>
      <c r="L175" s="27">
        <f t="shared" si="50"/>
        <v>175</v>
      </c>
      <c r="M175" s="32">
        <f t="shared" si="51"/>
        <v>175</v>
      </c>
      <c r="N175" s="32">
        <v>0</v>
      </c>
      <c r="O175" s="32">
        <f t="shared" si="53"/>
        <v>0</v>
      </c>
      <c r="P175" s="32">
        <v>0</v>
      </c>
      <c r="Q175" s="27">
        <f t="shared" si="40"/>
        <v>175</v>
      </c>
      <c r="R175" s="36">
        <f t="shared" si="41"/>
        <v>1</v>
      </c>
      <c r="S175" s="46">
        <f t="shared" si="42"/>
        <v>0</v>
      </c>
      <c r="T175" s="26"/>
      <c r="U175" s="27">
        <f t="shared" si="43"/>
        <v>0</v>
      </c>
      <c r="V175" s="27">
        <f t="shared" si="44"/>
        <v>0</v>
      </c>
      <c r="W175" s="27">
        <f t="shared" si="45"/>
        <v>0</v>
      </c>
      <c r="Y175" s="2"/>
    </row>
    <row r="176" spans="1:25" s="3" customFormat="1" ht="31.5">
      <c r="A176" s="43" t="s">
        <v>170</v>
      </c>
      <c r="B176" s="55" t="s">
        <v>333</v>
      </c>
      <c r="C176" s="38" t="s">
        <v>9</v>
      </c>
      <c r="D176" s="38">
        <v>774</v>
      </c>
      <c r="E176" s="37" t="s">
        <v>6</v>
      </c>
      <c r="F176" s="37" t="s">
        <v>132</v>
      </c>
      <c r="G176" s="38">
        <v>600</v>
      </c>
      <c r="H176" s="32">
        <f>100+375.9</f>
        <v>475.9</v>
      </c>
      <c r="I176" s="32">
        <v>0</v>
      </c>
      <c r="J176" s="32">
        <v>0</v>
      </c>
      <c r="K176" s="32">
        <v>0</v>
      </c>
      <c r="L176" s="27">
        <f t="shared" si="50"/>
        <v>475.9</v>
      </c>
      <c r="M176" s="32">
        <f t="shared" si="51"/>
        <v>475.9</v>
      </c>
      <c r="N176" s="32">
        <v>0</v>
      </c>
      <c r="O176" s="32">
        <f t="shared" si="53"/>
        <v>0</v>
      </c>
      <c r="P176" s="32">
        <v>0</v>
      </c>
      <c r="Q176" s="27">
        <f t="shared" si="40"/>
        <v>475.9</v>
      </c>
      <c r="R176" s="36">
        <f t="shared" si="41"/>
        <v>1</v>
      </c>
      <c r="S176" s="46">
        <f t="shared" si="42"/>
        <v>0</v>
      </c>
      <c r="T176" s="26"/>
      <c r="U176" s="27">
        <f t="shared" si="43"/>
        <v>0</v>
      </c>
      <c r="V176" s="27">
        <f t="shared" si="44"/>
        <v>0</v>
      </c>
      <c r="W176" s="27">
        <f t="shared" si="45"/>
        <v>0</v>
      </c>
      <c r="Y176" s="2"/>
    </row>
    <row r="177" spans="1:25" s="3" customFormat="1" ht="31.5">
      <c r="A177" s="43" t="s">
        <v>171</v>
      </c>
      <c r="B177" s="55" t="s">
        <v>334</v>
      </c>
      <c r="C177" s="38" t="s">
        <v>9</v>
      </c>
      <c r="D177" s="38">
        <v>774</v>
      </c>
      <c r="E177" s="37" t="s">
        <v>6</v>
      </c>
      <c r="F177" s="37" t="s">
        <v>132</v>
      </c>
      <c r="G177" s="38">
        <v>600</v>
      </c>
      <c r="H177" s="32">
        <v>140</v>
      </c>
      <c r="I177" s="32">
        <v>0</v>
      </c>
      <c r="J177" s="32">
        <v>0</v>
      </c>
      <c r="K177" s="32">
        <v>0</v>
      </c>
      <c r="L177" s="27">
        <f t="shared" si="50"/>
        <v>140</v>
      </c>
      <c r="M177" s="32">
        <f t="shared" si="51"/>
        <v>140</v>
      </c>
      <c r="N177" s="32">
        <v>0</v>
      </c>
      <c r="O177" s="32">
        <f t="shared" si="53"/>
        <v>0</v>
      </c>
      <c r="P177" s="32">
        <v>0</v>
      </c>
      <c r="Q177" s="27">
        <f t="shared" si="40"/>
        <v>140</v>
      </c>
      <c r="R177" s="36">
        <f t="shared" si="41"/>
        <v>1</v>
      </c>
      <c r="S177" s="46">
        <f t="shared" si="42"/>
        <v>0</v>
      </c>
      <c r="T177" s="26"/>
      <c r="U177" s="27">
        <f t="shared" si="43"/>
        <v>0</v>
      </c>
      <c r="V177" s="27">
        <f t="shared" si="44"/>
        <v>0</v>
      </c>
      <c r="W177" s="27">
        <f t="shared" si="45"/>
        <v>0</v>
      </c>
      <c r="Y177" s="2"/>
    </row>
    <row r="178" spans="1:25" s="3" customFormat="1" ht="31.5">
      <c r="A178" s="43" t="s">
        <v>172</v>
      </c>
      <c r="B178" s="55" t="s">
        <v>335</v>
      </c>
      <c r="C178" s="38" t="s">
        <v>9</v>
      </c>
      <c r="D178" s="38">
        <v>774</v>
      </c>
      <c r="E178" s="37" t="s">
        <v>6</v>
      </c>
      <c r="F178" s="37" t="s">
        <v>132</v>
      </c>
      <c r="G178" s="38">
        <v>600</v>
      </c>
      <c r="H178" s="32">
        <f>60+132.4+40</f>
        <v>232.4</v>
      </c>
      <c r="I178" s="32">
        <v>0</v>
      </c>
      <c r="J178" s="32">
        <v>0</v>
      </c>
      <c r="K178" s="32">
        <v>0</v>
      </c>
      <c r="L178" s="27">
        <f t="shared" si="50"/>
        <v>232.4</v>
      </c>
      <c r="M178" s="32">
        <f t="shared" si="51"/>
        <v>232.4</v>
      </c>
      <c r="N178" s="32">
        <v>0</v>
      </c>
      <c r="O178" s="32">
        <f t="shared" si="53"/>
        <v>0</v>
      </c>
      <c r="P178" s="32">
        <v>0</v>
      </c>
      <c r="Q178" s="27">
        <f t="shared" si="40"/>
        <v>232.4</v>
      </c>
      <c r="R178" s="36">
        <f t="shared" si="41"/>
        <v>1</v>
      </c>
      <c r="S178" s="46">
        <f t="shared" si="42"/>
        <v>0</v>
      </c>
      <c r="T178" s="26"/>
      <c r="U178" s="27">
        <f t="shared" si="43"/>
        <v>0</v>
      </c>
      <c r="V178" s="27">
        <f t="shared" si="44"/>
        <v>0</v>
      </c>
      <c r="W178" s="27">
        <f t="shared" si="45"/>
        <v>0</v>
      </c>
      <c r="Y178" s="2"/>
    </row>
    <row r="179" spans="1:25" s="3" customFormat="1" ht="47.25">
      <c r="A179" s="43" t="s">
        <v>174</v>
      </c>
      <c r="B179" s="55" t="s">
        <v>336</v>
      </c>
      <c r="C179" s="38" t="s">
        <v>9</v>
      </c>
      <c r="D179" s="38">
        <v>774</v>
      </c>
      <c r="E179" s="37" t="s">
        <v>7</v>
      </c>
      <c r="F179" s="37" t="s">
        <v>132</v>
      </c>
      <c r="G179" s="38">
        <v>600</v>
      </c>
      <c r="H179" s="32">
        <f>140+95.4+70+30</f>
        <v>335.4</v>
      </c>
      <c r="I179" s="32">
        <v>0</v>
      </c>
      <c r="J179" s="32">
        <v>0</v>
      </c>
      <c r="K179" s="32">
        <v>0</v>
      </c>
      <c r="L179" s="27">
        <f t="shared" si="50"/>
        <v>335.4</v>
      </c>
      <c r="M179" s="32">
        <f t="shared" si="51"/>
        <v>335.4</v>
      </c>
      <c r="N179" s="32">
        <v>0</v>
      </c>
      <c r="O179" s="32">
        <f t="shared" si="53"/>
        <v>0</v>
      </c>
      <c r="P179" s="32">
        <v>0</v>
      </c>
      <c r="Q179" s="27">
        <f t="shared" si="40"/>
        <v>335.4</v>
      </c>
      <c r="R179" s="36">
        <f t="shared" si="41"/>
        <v>1</v>
      </c>
      <c r="S179" s="46">
        <f t="shared" si="42"/>
        <v>0</v>
      </c>
      <c r="T179" s="26"/>
      <c r="U179" s="27">
        <f t="shared" si="43"/>
        <v>0</v>
      </c>
      <c r="V179" s="27">
        <f t="shared" si="44"/>
        <v>0</v>
      </c>
      <c r="W179" s="27">
        <f t="shared" si="45"/>
        <v>0</v>
      </c>
      <c r="Y179" s="2"/>
    </row>
    <row r="180" spans="1:25" s="3" customFormat="1" ht="63">
      <c r="A180" s="43" t="s">
        <v>175</v>
      </c>
      <c r="B180" s="55" t="s">
        <v>337</v>
      </c>
      <c r="C180" s="38" t="s">
        <v>9</v>
      </c>
      <c r="D180" s="38">
        <v>774</v>
      </c>
      <c r="E180" s="37" t="s">
        <v>7</v>
      </c>
      <c r="F180" s="37" t="s">
        <v>132</v>
      </c>
      <c r="G180" s="38">
        <v>600</v>
      </c>
      <c r="H180" s="32">
        <f>430+200</f>
        <v>630</v>
      </c>
      <c r="I180" s="32">
        <v>0</v>
      </c>
      <c r="J180" s="32">
        <v>0</v>
      </c>
      <c r="K180" s="32">
        <v>0</v>
      </c>
      <c r="L180" s="27">
        <f t="shared" si="50"/>
        <v>630</v>
      </c>
      <c r="M180" s="32">
        <v>630</v>
      </c>
      <c r="N180" s="32">
        <v>0</v>
      </c>
      <c r="O180" s="32">
        <f t="shared" si="53"/>
        <v>0</v>
      </c>
      <c r="P180" s="32">
        <v>0</v>
      </c>
      <c r="Q180" s="27">
        <f t="shared" si="40"/>
        <v>630</v>
      </c>
      <c r="R180" s="36">
        <f t="shared" si="41"/>
        <v>1</v>
      </c>
      <c r="S180" s="46">
        <f t="shared" si="42"/>
        <v>0</v>
      </c>
      <c r="T180" s="26"/>
      <c r="U180" s="27">
        <f t="shared" si="43"/>
        <v>0</v>
      </c>
      <c r="V180" s="27">
        <f t="shared" si="44"/>
        <v>0</v>
      </c>
      <c r="W180" s="27">
        <f t="shared" si="45"/>
        <v>0</v>
      </c>
      <c r="Y180" s="2"/>
    </row>
    <row r="181" spans="1:25" s="3" customFormat="1" ht="31.5">
      <c r="A181" s="43" t="s">
        <v>176</v>
      </c>
      <c r="B181" s="55" t="s">
        <v>338</v>
      </c>
      <c r="C181" s="38" t="s">
        <v>9</v>
      </c>
      <c r="D181" s="38">
        <v>774</v>
      </c>
      <c r="E181" s="37" t="s">
        <v>7</v>
      </c>
      <c r="F181" s="37" t="s">
        <v>132</v>
      </c>
      <c r="G181" s="38">
        <v>600</v>
      </c>
      <c r="H181" s="32">
        <v>50</v>
      </c>
      <c r="I181" s="32">
        <v>0</v>
      </c>
      <c r="J181" s="32">
        <v>0</v>
      </c>
      <c r="K181" s="32">
        <v>0</v>
      </c>
      <c r="L181" s="27">
        <f t="shared" si="50"/>
        <v>50</v>
      </c>
      <c r="M181" s="32">
        <f t="shared" si="51"/>
        <v>50</v>
      </c>
      <c r="N181" s="32">
        <v>0</v>
      </c>
      <c r="O181" s="32">
        <f t="shared" si="53"/>
        <v>0</v>
      </c>
      <c r="P181" s="32">
        <v>0</v>
      </c>
      <c r="Q181" s="27">
        <f t="shared" si="40"/>
        <v>50</v>
      </c>
      <c r="R181" s="36">
        <f t="shared" si="41"/>
        <v>1</v>
      </c>
      <c r="S181" s="46">
        <f t="shared" si="42"/>
        <v>0</v>
      </c>
      <c r="T181" s="26"/>
      <c r="U181" s="27">
        <f t="shared" si="43"/>
        <v>0</v>
      </c>
      <c r="V181" s="27">
        <f t="shared" si="44"/>
        <v>0</v>
      </c>
      <c r="W181" s="27">
        <f t="shared" si="45"/>
        <v>0</v>
      </c>
      <c r="Y181" s="2"/>
    </row>
    <row r="182" spans="1:25" s="3" customFormat="1" ht="31.5">
      <c r="A182" s="43" t="s">
        <v>179</v>
      </c>
      <c r="B182" s="55" t="s">
        <v>339</v>
      </c>
      <c r="C182" s="38" t="s">
        <v>9</v>
      </c>
      <c r="D182" s="38">
        <v>774</v>
      </c>
      <c r="E182" s="37" t="s">
        <v>6</v>
      </c>
      <c r="F182" s="37" t="s">
        <v>132</v>
      </c>
      <c r="G182" s="38">
        <v>600</v>
      </c>
      <c r="H182" s="32">
        <v>340</v>
      </c>
      <c r="I182" s="32">
        <v>0</v>
      </c>
      <c r="J182" s="32">
        <v>0</v>
      </c>
      <c r="K182" s="32">
        <v>0</v>
      </c>
      <c r="L182" s="27">
        <f t="shared" si="50"/>
        <v>340</v>
      </c>
      <c r="M182" s="32">
        <v>340</v>
      </c>
      <c r="N182" s="32">
        <v>0</v>
      </c>
      <c r="O182" s="32">
        <f t="shared" si="53"/>
        <v>0</v>
      </c>
      <c r="P182" s="32">
        <v>0</v>
      </c>
      <c r="Q182" s="27">
        <f t="shared" si="40"/>
        <v>340</v>
      </c>
      <c r="R182" s="36">
        <f t="shared" si="41"/>
        <v>1</v>
      </c>
      <c r="S182" s="46">
        <f t="shared" si="42"/>
        <v>0</v>
      </c>
      <c r="T182" s="26"/>
      <c r="U182" s="27">
        <f t="shared" si="43"/>
        <v>0</v>
      </c>
      <c r="V182" s="27">
        <f t="shared" si="44"/>
        <v>0</v>
      </c>
      <c r="W182" s="27">
        <f t="shared" si="45"/>
        <v>0</v>
      </c>
      <c r="Y182" s="2"/>
    </row>
    <row r="183" spans="1:25" s="3" customFormat="1" ht="31.5">
      <c r="A183" s="43" t="s">
        <v>180</v>
      </c>
      <c r="B183" s="55" t="s">
        <v>340</v>
      </c>
      <c r="C183" s="38" t="s">
        <v>9</v>
      </c>
      <c r="D183" s="38">
        <v>774</v>
      </c>
      <c r="E183" s="37" t="s">
        <v>6</v>
      </c>
      <c r="F183" s="37" t="s">
        <v>132</v>
      </c>
      <c r="G183" s="38">
        <v>600</v>
      </c>
      <c r="H183" s="32">
        <v>300</v>
      </c>
      <c r="I183" s="32">
        <v>0</v>
      </c>
      <c r="J183" s="32">
        <v>0</v>
      </c>
      <c r="K183" s="32">
        <v>0</v>
      </c>
      <c r="L183" s="27">
        <f t="shared" si="50"/>
        <v>300</v>
      </c>
      <c r="M183" s="32">
        <f t="shared" si="51"/>
        <v>300</v>
      </c>
      <c r="N183" s="32">
        <v>0</v>
      </c>
      <c r="O183" s="32">
        <f t="shared" si="53"/>
        <v>0</v>
      </c>
      <c r="P183" s="32">
        <v>0</v>
      </c>
      <c r="Q183" s="27">
        <f t="shared" si="40"/>
        <v>300</v>
      </c>
      <c r="R183" s="36">
        <f t="shared" si="41"/>
        <v>1</v>
      </c>
      <c r="S183" s="46">
        <f t="shared" si="42"/>
        <v>0</v>
      </c>
      <c r="T183" s="26"/>
      <c r="U183" s="27">
        <f t="shared" si="43"/>
        <v>0</v>
      </c>
      <c r="V183" s="27">
        <f t="shared" si="44"/>
        <v>0</v>
      </c>
      <c r="W183" s="27">
        <f t="shared" si="45"/>
        <v>0</v>
      </c>
      <c r="Y183" s="2"/>
    </row>
    <row r="184" spans="1:25" s="3" customFormat="1" ht="47.25">
      <c r="A184" s="43" t="s">
        <v>181</v>
      </c>
      <c r="B184" s="55" t="s">
        <v>341</v>
      </c>
      <c r="C184" s="38" t="s">
        <v>9</v>
      </c>
      <c r="D184" s="38">
        <v>774</v>
      </c>
      <c r="E184" s="37" t="s">
        <v>6</v>
      </c>
      <c r="F184" s="37" t="s">
        <v>132</v>
      </c>
      <c r="G184" s="38">
        <v>600</v>
      </c>
      <c r="H184" s="32">
        <f>80+70+70+18.3</f>
        <v>238.3</v>
      </c>
      <c r="I184" s="32">
        <v>0</v>
      </c>
      <c r="J184" s="32">
        <v>0</v>
      </c>
      <c r="K184" s="32">
        <v>0</v>
      </c>
      <c r="L184" s="27">
        <f t="shared" si="50"/>
        <v>238.3</v>
      </c>
      <c r="M184" s="32">
        <f t="shared" si="51"/>
        <v>238.3</v>
      </c>
      <c r="N184" s="32">
        <v>0</v>
      </c>
      <c r="O184" s="32">
        <f t="shared" si="53"/>
        <v>0</v>
      </c>
      <c r="P184" s="32">
        <v>0</v>
      </c>
      <c r="Q184" s="27">
        <f t="shared" si="40"/>
        <v>238.3</v>
      </c>
      <c r="R184" s="36">
        <f t="shared" si="41"/>
        <v>1</v>
      </c>
      <c r="S184" s="46">
        <f t="shared" si="42"/>
        <v>0</v>
      </c>
      <c r="T184" s="26"/>
      <c r="U184" s="27">
        <f t="shared" si="43"/>
        <v>0</v>
      </c>
      <c r="V184" s="27">
        <f t="shared" si="44"/>
        <v>0</v>
      </c>
      <c r="W184" s="27">
        <f t="shared" si="45"/>
        <v>0</v>
      </c>
      <c r="Y184" s="2"/>
    </row>
    <row r="185" spans="1:25" s="3" customFormat="1" ht="63">
      <c r="A185" s="43" t="s">
        <v>182</v>
      </c>
      <c r="B185" s="55" t="s">
        <v>342</v>
      </c>
      <c r="C185" s="38" t="s">
        <v>9</v>
      </c>
      <c r="D185" s="38">
        <v>774</v>
      </c>
      <c r="E185" s="37" t="s">
        <v>7</v>
      </c>
      <c r="F185" s="37" t="s">
        <v>132</v>
      </c>
      <c r="G185" s="38">
        <v>600</v>
      </c>
      <c r="H185" s="32">
        <f>587.4+126+300-163</f>
        <v>850.4</v>
      </c>
      <c r="I185" s="32">
        <v>0</v>
      </c>
      <c r="J185" s="32">
        <v>0</v>
      </c>
      <c r="K185" s="32">
        <v>0</v>
      </c>
      <c r="L185" s="27">
        <f t="shared" si="50"/>
        <v>850.4</v>
      </c>
      <c r="M185" s="32">
        <f t="shared" si="51"/>
        <v>850.4</v>
      </c>
      <c r="N185" s="32">
        <v>0</v>
      </c>
      <c r="O185" s="32">
        <f t="shared" si="53"/>
        <v>0</v>
      </c>
      <c r="P185" s="32">
        <v>0</v>
      </c>
      <c r="Q185" s="27">
        <f t="shared" si="40"/>
        <v>850.4</v>
      </c>
      <c r="R185" s="36">
        <f t="shared" si="41"/>
        <v>1</v>
      </c>
      <c r="S185" s="46">
        <f t="shared" si="42"/>
        <v>0</v>
      </c>
      <c r="T185" s="26"/>
      <c r="U185" s="27">
        <f t="shared" si="43"/>
        <v>0</v>
      </c>
      <c r="V185" s="27">
        <f t="shared" si="44"/>
        <v>0</v>
      </c>
      <c r="W185" s="27">
        <f t="shared" si="45"/>
        <v>0</v>
      </c>
      <c r="Y185" s="2"/>
    </row>
    <row r="186" spans="1:25" s="3" customFormat="1" ht="31.5">
      <c r="A186" s="43" t="s">
        <v>183</v>
      </c>
      <c r="B186" s="55" t="s">
        <v>343</v>
      </c>
      <c r="C186" s="38" t="s">
        <v>9</v>
      </c>
      <c r="D186" s="38">
        <v>774</v>
      </c>
      <c r="E186" s="37" t="s">
        <v>7</v>
      </c>
      <c r="F186" s="37" t="s">
        <v>132</v>
      </c>
      <c r="G186" s="38">
        <v>600</v>
      </c>
      <c r="H186" s="32">
        <v>80</v>
      </c>
      <c r="I186" s="32">
        <v>0</v>
      </c>
      <c r="J186" s="32">
        <v>0</v>
      </c>
      <c r="K186" s="32">
        <v>0</v>
      </c>
      <c r="L186" s="27">
        <f t="shared" si="50"/>
        <v>80</v>
      </c>
      <c r="M186" s="32">
        <f t="shared" si="51"/>
        <v>80</v>
      </c>
      <c r="N186" s="32">
        <v>0</v>
      </c>
      <c r="O186" s="32">
        <f t="shared" si="53"/>
        <v>0</v>
      </c>
      <c r="P186" s="32">
        <v>0</v>
      </c>
      <c r="Q186" s="27">
        <f t="shared" si="40"/>
        <v>80</v>
      </c>
      <c r="R186" s="36">
        <f t="shared" si="41"/>
        <v>1</v>
      </c>
      <c r="S186" s="46">
        <f t="shared" si="42"/>
        <v>0</v>
      </c>
      <c r="T186" s="26"/>
      <c r="U186" s="27">
        <f t="shared" si="43"/>
        <v>0</v>
      </c>
      <c r="V186" s="27">
        <f t="shared" si="44"/>
        <v>0</v>
      </c>
      <c r="W186" s="27">
        <f t="shared" si="45"/>
        <v>0</v>
      </c>
      <c r="Y186" s="2"/>
    </row>
    <row r="187" spans="1:25" s="3" customFormat="1" ht="63">
      <c r="A187" s="43" t="s">
        <v>184</v>
      </c>
      <c r="B187" s="55" t="s">
        <v>344</v>
      </c>
      <c r="C187" s="38" t="s">
        <v>9</v>
      </c>
      <c r="D187" s="38">
        <v>774</v>
      </c>
      <c r="E187" s="37" t="s">
        <v>7</v>
      </c>
      <c r="F187" s="37" t="s">
        <v>132</v>
      </c>
      <c r="G187" s="38">
        <v>600</v>
      </c>
      <c r="H187" s="32">
        <f>400+150+320+100</f>
        <v>970</v>
      </c>
      <c r="I187" s="32">
        <v>0</v>
      </c>
      <c r="J187" s="32">
        <v>0</v>
      </c>
      <c r="K187" s="32">
        <v>0</v>
      </c>
      <c r="L187" s="27">
        <f t="shared" si="50"/>
        <v>970</v>
      </c>
      <c r="M187" s="32">
        <f t="shared" si="51"/>
        <v>970</v>
      </c>
      <c r="N187" s="32">
        <v>0</v>
      </c>
      <c r="O187" s="32">
        <f t="shared" si="53"/>
        <v>0</v>
      </c>
      <c r="P187" s="32">
        <v>0</v>
      </c>
      <c r="Q187" s="27">
        <f t="shared" si="40"/>
        <v>970</v>
      </c>
      <c r="R187" s="36">
        <f t="shared" si="41"/>
        <v>1</v>
      </c>
      <c r="S187" s="46">
        <f t="shared" si="42"/>
        <v>0</v>
      </c>
      <c r="T187" s="26"/>
      <c r="U187" s="27">
        <f t="shared" si="43"/>
        <v>0</v>
      </c>
      <c r="V187" s="27">
        <f t="shared" si="44"/>
        <v>0</v>
      </c>
      <c r="W187" s="27">
        <f t="shared" si="45"/>
        <v>0</v>
      </c>
      <c r="Y187" s="2"/>
    </row>
    <row r="188" spans="1:25" s="3" customFormat="1" ht="31.5">
      <c r="A188" s="43" t="s">
        <v>200</v>
      </c>
      <c r="B188" s="55" t="s">
        <v>345</v>
      </c>
      <c r="C188" s="38" t="s">
        <v>9</v>
      </c>
      <c r="D188" s="38">
        <v>774</v>
      </c>
      <c r="E188" s="37" t="s">
        <v>7</v>
      </c>
      <c r="F188" s="37" t="s">
        <v>132</v>
      </c>
      <c r="G188" s="38">
        <v>600</v>
      </c>
      <c r="H188" s="32">
        <f>500+75</f>
        <v>575</v>
      </c>
      <c r="I188" s="32">
        <v>0</v>
      </c>
      <c r="J188" s="32">
        <v>0</v>
      </c>
      <c r="K188" s="32">
        <v>0</v>
      </c>
      <c r="L188" s="27">
        <f t="shared" si="50"/>
        <v>575</v>
      </c>
      <c r="M188" s="32">
        <f t="shared" si="51"/>
        <v>575</v>
      </c>
      <c r="N188" s="32">
        <v>0</v>
      </c>
      <c r="O188" s="32">
        <f t="shared" si="53"/>
        <v>0</v>
      </c>
      <c r="P188" s="32">
        <v>0</v>
      </c>
      <c r="Q188" s="27">
        <f t="shared" si="40"/>
        <v>575</v>
      </c>
      <c r="R188" s="36">
        <f t="shared" si="41"/>
        <v>1</v>
      </c>
      <c r="S188" s="46">
        <f t="shared" si="42"/>
        <v>0</v>
      </c>
      <c r="T188" s="26"/>
      <c r="U188" s="27">
        <f t="shared" si="43"/>
        <v>0</v>
      </c>
      <c r="V188" s="27">
        <f t="shared" si="44"/>
        <v>0</v>
      </c>
      <c r="W188" s="27">
        <f t="shared" si="45"/>
        <v>0</v>
      </c>
      <c r="Y188" s="2"/>
    </row>
    <row r="189" spans="1:25" s="3" customFormat="1" ht="78.75">
      <c r="A189" s="43" t="s">
        <v>215</v>
      </c>
      <c r="B189" s="55" t="s">
        <v>346</v>
      </c>
      <c r="C189" s="38" t="s">
        <v>9</v>
      </c>
      <c r="D189" s="38">
        <v>774</v>
      </c>
      <c r="E189" s="37" t="s">
        <v>7</v>
      </c>
      <c r="F189" s="37" t="s">
        <v>132</v>
      </c>
      <c r="G189" s="38">
        <v>600</v>
      </c>
      <c r="H189" s="32">
        <f>1120-500-25-40-30-25</f>
        <v>500</v>
      </c>
      <c r="I189" s="32">
        <v>0</v>
      </c>
      <c r="J189" s="32">
        <v>0</v>
      </c>
      <c r="K189" s="32">
        <v>0</v>
      </c>
      <c r="L189" s="27">
        <f t="shared" si="50"/>
        <v>500</v>
      </c>
      <c r="M189" s="32">
        <f t="shared" si="51"/>
        <v>500</v>
      </c>
      <c r="N189" s="32">
        <v>0</v>
      </c>
      <c r="O189" s="32">
        <f t="shared" si="53"/>
        <v>0</v>
      </c>
      <c r="P189" s="32">
        <v>0</v>
      </c>
      <c r="Q189" s="27">
        <f t="shared" si="40"/>
        <v>500</v>
      </c>
      <c r="R189" s="36">
        <f t="shared" si="41"/>
        <v>1</v>
      </c>
      <c r="S189" s="46">
        <f t="shared" si="42"/>
        <v>0</v>
      </c>
      <c r="T189" s="26"/>
      <c r="U189" s="27">
        <f t="shared" si="43"/>
        <v>0</v>
      </c>
      <c r="V189" s="27">
        <f t="shared" si="44"/>
        <v>0</v>
      </c>
      <c r="W189" s="27">
        <f t="shared" si="45"/>
        <v>0</v>
      </c>
      <c r="Y189" s="2"/>
    </row>
    <row r="190" spans="1:25" s="3" customFormat="1" ht="15.75">
      <c r="A190" s="43" t="s">
        <v>201</v>
      </c>
      <c r="B190" s="55" t="s">
        <v>347</v>
      </c>
      <c r="C190" s="38" t="s">
        <v>9</v>
      </c>
      <c r="D190" s="38">
        <v>774</v>
      </c>
      <c r="E190" s="37" t="s">
        <v>7</v>
      </c>
      <c r="F190" s="37" t="s">
        <v>132</v>
      </c>
      <c r="G190" s="38">
        <v>600</v>
      </c>
      <c r="H190" s="32">
        <f>100+25+20.6</f>
        <v>145.6</v>
      </c>
      <c r="I190" s="32">
        <v>0</v>
      </c>
      <c r="J190" s="32">
        <v>0</v>
      </c>
      <c r="K190" s="32">
        <v>0</v>
      </c>
      <c r="L190" s="27">
        <f t="shared" si="50"/>
        <v>145.6</v>
      </c>
      <c r="M190" s="32">
        <f t="shared" si="51"/>
        <v>145.6</v>
      </c>
      <c r="N190" s="32">
        <v>0</v>
      </c>
      <c r="O190" s="32">
        <f t="shared" si="53"/>
        <v>0</v>
      </c>
      <c r="P190" s="32">
        <v>0</v>
      </c>
      <c r="Q190" s="27">
        <f t="shared" si="40"/>
        <v>145.6</v>
      </c>
      <c r="R190" s="36">
        <f t="shared" si="41"/>
        <v>1</v>
      </c>
      <c r="S190" s="46">
        <f t="shared" si="42"/>
        <v>0</v>
      </c>
      <c r="T190" s="26"/>
      <c r="U190" s="27">
        <f t="shared" si="43"/>
        <v>0</v>
      </c>
      <c r="V190" s="27">
        <f t="shared" si="44"/>
        <v>0</v>
      </c>
      <c r="W190" s="27">
        <f t="shared" si="45"/>
        <v>0</v>
      </c>
      <c r="Y190" s="2"/>
    </row>
    <row r="191" spans="1:25" s="3" customFormat="1" ht="15.75">
      <c r="A191" s="43" t="s">
        <v>202</v>
      </c>
      <c r="B191" s="55" t="s">
        <v>348</v>
      </c>
      <c r="C191" s="38" t="s">
        <v>9</v>
      </c>
      <c r="D191" s="38">
        <v>774</v>
      </c>
      <c r="E191" s="37" t="s">
        <v>6</v>
      </c>
      <c r="F191" s="37" t="s">
        <v>132</v>
      </c>
      <c r="G191" s="38">
        <v>600</v>
      </c>
      <c r="H191" s="32">
        <f>300+391.7</f>
        <v>691.7</v>
      </c>
      <c r="I191" s="32">
        <v>0</v>
      </c>
      <c r="J191" s="32">
        <v>0</v>
      </c>
      <c r="K191" s="32">
        <v>0</v>
      </c>
      <c r="L191" s="27">
        <f t="shared" si="50"/>
        <v>691.7</v>
      </c>
      <c r="M191" s="32">
        <f t="shared" si="51"/>
        <v>691.7</v>
      </c>
      <c r="N191" s="32">
        <v>0</v>
      </c>
      <c r="O191" s="32">
        <f t="shared" si="53"/>
        <v>0</v>
      </c>
      <c r="P191" s="32">
        <v>0</v>
      </c>
      <c r="Q191" s="27">
        <f t="shared" si="40"/>
        <v>691.7</v>
      </c>
      <c r="R191" s="36">
        <f t="shared" si="41"/>
        <v>1</v>
      </c>
      <c r="S191" s="46">
        <f t="shared" si="42"/>
        <v>0</v>
      </c>
      <c r="T191" s="26"/>
      <c r="U191" s="27">
        <f t="shared" si="43"/>
        <v>0</v>
      </c>
      <c r="V191" s="27">
        <f t="shared" si="44"/>
        <v>0</v>
      </c>
      <c r="W191" s="27">
        <f t="shared" si="45"/>
        <v>0</v>
      </c>
      <c r="Y191" s="2"/>
    </row>
    <row r="192" spans="1:25" s="3" customFormat="1" ht="15.75">
      <c r="A192" s="43" t="s">
        <v>203</v>
      </c>
      <c r="B192" s="55" t="s">
        <v>349</v>
      </c>
      <c r="C192" s="38" t="s">
        <v>9</v>
      </c>
      <c r="D192" s="38">
        <v>774</v>
      </c>
      <c r="E192" s="37" t="s">
        <v>6</v>
      </c>
      <c r="F192" s="37" t="s">
        <v>132</v>
      </c>
      <c r="G192" s="38">
        <v>600</v>
      </c>
      <c r="H192" s="32">
        <v>300</v>
      </c>
      <c r="I192" s="32">
        <v>0</v>
      </c>
      <c r="J192" s="32">
        <v>0</v>
      </c>
      <c r="K192" s="32">
        <v>0</v>
      </c>
      <c r="L192" s="27">
        <f t="shared" si="50"/>
        <v>300</v>
      </c>
      <c r="M192" s="32">
        <f t="shared" si="51"/>
        <v>300</v>
      </c>
      <c r="N192" s="32">
        <v>0</v>
      </c>
      <c r="O192" s="32">
        <f t="shared" si="53"/>
        <v>0</v>
      </c>
      <c r="P192" s="32">
        <v>0</v>
      </c>
      <c r="Q192" s="27">
        <f t="shared" si="40"/>
        <v>300</v>
      </c>
      <c r="R192" s="36">
        <f t="shared" si="41"/>
        <v>1</v>
      </c>
      <c r="S192" s="46">
        <f t="shared" si="42"/>
        <v>0</v>
      </c>
      <c r="T192" s="26"/>
      <c r="U192" s="27">
        <f t="shared" si="43"/>
        <v>0</v>
      </c>
      <c r="V192" s="27">
        <f t="shared" si="44"/>
        <v>0</v>
      </c>
      <c r="W192" s="27">
        <f t="shared" si="45"/>
        <v>0</v>
      </c>
      <c r="Y192" s="2"/>
    </row>
    <row r="193" spans="1:25" s="3" customFormat="1" ht="31.5">
      <c r="A193" s="43" t="s">
        <v>204</v>
      </c>
      <c r="B193" s="55" t="s">
        <v>350</v>
      </c>
      <c r="C193" s="38" t="s">
        <v>9</v>
      </c>
      <c r="D193" s="38">
        <v>774</v>
      </c>
      <c r="E193" s="37" t="s">
        <v>7</v>
      </c>
      <c r="F193" s="37" t="s">
        <v>132</v>
      </c>
      <c r="G193" s="38">
        <v>600</v>
      </c>
      <c r="H193" s="32">
        <f>500+102.5+300</f>
        <v>902.5</v>
      </c>
      <c r="I193" s="32">
        <v>0</v>
      </c>
      <c r="J193" s="32">
        <v>0</v>
      </c>
      <c r="K193" s="32">
        <v>0</v>
      </c>
      <c r="L193" s="27">
        <f t="shared" si="50"/>
        <v>902.5</v>
      </c>
      <c r="M193" s="32">
        <f t="shared" si="51"/>
        <v>902.5</v>
      </c>
      <c r="N193" s="32"/>
      <c r="O193" s="32">
        <f t="shared" si="53"/>
        <v>0</v>
      </c>
      <c r="P193" s="32">
        <v>0</v>
      </c>
      <c r="Q193" s="27">
        <f t="shared" si="40"/>
        <v>902.5</v>
      </c>
      <c r="R193" s="36">
        <f t="shared" si="41"/>
        <v>1</v>
      </c>
      <c r="S193" s="46">
        <f t="shared" si="42"/>
        <v>0</v>
      </c>
      <c r="T193" s="26"/>
      <c r="U193" s="27">
        <f t="shared" si="43"/>
        <v>0</v>
      </c>
      <c r="V193" s="27">
        <f t="shared" si="44"/>
        <v>0</v>
      </c>
      <c r="W193" s="27">
        <f t="shared" si="45"/>
        <v>0</v>
      </c>
      <c r="Y193" s="2"/>
    </row>
    <row r="194" spans="1:25" s="3" customFormat="1" ht="15.75">
      <c r="A194" s="42" t="s">
        <v>49</v>
      </c>
      <c r="B194" s="55" t="s">
        <v>351</v>
      </c>
      <c r="C194" s="38" t="s">
        <v>9</v>
      </c>
      <c r="D194" s="26" t="s">
        <v>5</v>
      </c>
      <c r="E194" s="26" t="s">
        <v>5</v>
      </c>
      <c r="F194" s="48" t="s">
        <v>134</v>
      </c>
      <c r="G194" s="26" t="s">
        <v>5</v>
      </c>
      <c r="H194" s="32">
        <v>300</v>
      </c>
      <c r="I194" s="32">
        <v>0</v>
      </c>
      <c r="J194" s="32">
        <v>0</v>
      </c>
      <c r="K194" s="32">
        <v>0</v>
      </c>
      <c r="L194" s="27">
        <f t="shared" si="50"/>
        <v>300</v>
      </c>
      <c r="M194" s="32">
        <f t="shared" si="51"/>
        <v>300</v>
      </c>
      <c r="N194" s="32">
        <v>0</v>
      </c>
      <c r="O194" s="32">
        <f t="shared" si="53"/>
        <v>0</v>
      </c>
      <c r="P194" s="32">
        <v>0</v>
      </c>
      <c r="Q194" s="27">
        <f t="shared" si="40"/>
        <v>300</v>
      </c>
      <c r="R194" s="36">
        <f t="shared" si="41"/>
        <v>1</v>
      </c>
      <c r="S194" s="46">
        <f t="shared" si="42"/>
        <v>0</v>
      </c>
      <c r="T194" s="26"/>
      <c r="U194" s="27">
        <f t="shared" si="43"/>
        <v>0</v>
      </c>
      <c r="V194" s="27">
        <f t="shared" si="44"/>
        <v>0</v>
      </c>
      <c r="W194" s="27">
        <f t="shared" si="45"/>
        <v>0</v>
      </c>
      <c r="Y194" s="2"/>
    </row>
    <row r="195" spans="1:25" s="3" customFormat="1" ht="31.5">
      <c r="A195" s="43" t="s">
        <v>50</v>
      </c>
      <c r="B195" s="55" t="s">
        <v>352</v>
      </c>
      <c r="C195" s="38" t="s">
        <v>9</v>
      </c>
      <c r="D195" s="26">
        <v>774</v>
      </c>
      <c r="E195" s="48" t="s">
        <v>8</v>
      </c>
      <c r="F195" s="48" t="s">
        <v>134</v>
      </c>
      <c r="G195" s="26" t="s">
        <v>5</v>
      </c>
      <c r="H195" s="32">
        <v>76.3</v>
      </c>
      <c r="I195" s="32">
        <v>0</v>
      </c>
      <c r="J195" s="32">
        <v>0</v>
      </c>
      <c r="K195" s="32">
        <v>0</v>
      </c>
      <c r="L195" s="27">
        <f t="shared" si="50"/>
        <v>76.3</v>
      </c>
      <c r="M195" s="32">
        <v>76.3</v>
      </c>
      <c r="N195" s="32">
        <v>0</v>
      </c>
      <c r="O195" s="32">
        <f t="shared" si="53"/>
        <v>0</v>
      </c>
      <c r="P195" s="32">
        <v>0</v>
      </c>
      <c r="Q195" s="27">
        <f t="shared" si="40"/>
        <v>76.3</v>
      </c>
      <c r="R195" s="36">
        <f t="shared" si="41"/>
        <v>1</v>
      </c>
      <c r="S195" s="46">
        <f t="shared" si="42"/>
        <v>0</v>
      </c>
      <c r="T195" s="26"/>
      <c r="U195" s="27">
        <f t="shared" si="43"/>
        <v>0</v>
      </c>
      <c r="V195" s="27">
        <f t="shared" si="44"/>
        <v>0</v>
      </c>
      <c r="W195" s="27">
        <f t="shared" si="45"/>
        <v>0</v>
      </c>
      <c r="Y195" s="2"/>
    </row>
    <row r="196" spans="1:25" s="3" customFormat="1" ht="63">
      <c r="A196" s="43" t="s">
        <v>51</v>
      </c>
      <c r="B196" s="55" t="s">
        <v>353</v>
      </c>
      <c r="C196" s="38" t="s">
        <v>9</v>
      </c>
      <c r="D196" s="38">
        <v>774</v>
      </c>
      <c r="E196" s="37" t="s">
        <v>8</v>
      </c>
      <c r="F196" s="37" t="s">
        <v>133</v>
      </c>
      <c r="G196" s="38" t="s">
        <v>5</v>
      </c>
      <c r="H196" s="32">
        <f>923.4+400+150+360</f>
        <v>1833.4</v>
      </c>
      <c r="I196" s="32">
        <v>0</v>
      </c>
      <c r="J196" s="32">
        <v>0</v>
      </c>
      <c r="K196" s="32">
        <v>0</v>
      </c>
      <c r="L196" s="27">
        <f t="shared" si="50"/>
        <v>1833.4</v>
      </c>
      <c r="M196" s="32">
        <f t="shared" si="51"/>
        <v>1833.4</v>
      </c>
      <c r="N196" s="32">
        <v>0</v>
      </c>
      <c r="O196" s="32">
        <f t="shared" si="53"/>
        <v>0</v>
      </c>
      <c r="P196" s="32">
        <v>0</v>
      </c>
      <c r="Q196" s="27">
        <f t="shared" si="40"/>
        <v>1833.4</v>
      </c>
      <c r="R196" s="36">
        <f t="shared" si="41"/>
        <v>1</v>
      </c>
      <c r="S196" s="46">
        <f t="shared" si="42"/>
        <v>0</v>
      </c>
      <c r="T196" s="26"/>
      <c r="U196" s="27">
        <f t="shared" si="43"/>
        <v>0</v>
      </c>
      <c r="V196" s="27">
        <f t="shared" si="44"/>
        <v>0</v>
      </c>
      <c r="W196" s="27">
        <f t="shared" si="45"/>
        <v>0</v>
      </c>
      <c r="Y196" s="2"/>
    </row>
    <row r="197" spans="1:25" s="3" customFormat="1" ht="15.75">
      <c r="A197" s="43" t="s">
        <v>154</v>
      </c>
      <c r="B197" s="55" t="s">
        <v>354</v>
      </c>
      <c r="C197" s="38" t="s">
        <v>9</v>
      </c>
      <c r="D197" s="38">
        <v>774</v>
      </c>
      <c r="E197" s="37" t="s">
        <v>8</v>
      </c>
      <c r="F197" s="37" t="s">
        <v>136</v>
      </c>
      <c r="G197" s="38" t="s">
        <v>5</v>
      </c>
      <c r="H197" s="32">
        <v>60</v>
      </c>
      <c r="I197" s="32">
        <v>0</v>
      </c>
      <c r="J197" s="32">
        <v>0</v>
      </c>
      <c r="K197" s="32">
        <v>0</v>
      </c>
      <c r="L197" s="27">
        <f t="shared" si="50"/>
        <v>60</v>
      </c>
      <c r="M197" s="32">
        <f t="shared" si="51"/>
        <v>60</v>
      </c>
      <c r="N197" s="32">
        <v>0</v>
      </c>
      <c r="O197" s="32">
        <f t="shared" si="53"/>
        <v>0</v>
      </c>
      <c r="P197" s="32">
        <v>0</v>
      </c>
      <c r="Q197" s="27">
        <f t="shared" si="40"/>
        <v>60</v>
      </c>
      <c r="R197" s="36">
        <f t="shared" si="41"/>
        <v>1</v>
      </c>
      <c r="S197" s="46">
        <f t="shared" si="42"/>
        <v>0</v>
      </c>
      <c r="T197" s="26"/>
      <c r="U197" s="27">
        <f t="shared" si="43"/>
        <v>0</v>
      </c>
      <c r="V197" s="27">
        <f t="shared" si="44"/>
        <v>0</v>
      </c>
      <c r="W197" s="27">
        <f t="shared" si="45"/>
        <v>0</v>
      </c>
      <c r="Y197" s="2"/>
    </row>
    <row r="198" spans="1:25" s="3" customFormat="1" ht="15.75">
      <c r="A198" s="43" t="s">
        <v>155</v>
      </c>
      <c r="B198" s="55" t="s">
        <v>355</v>
      </c>
      <c r="C198" s="38" t="s">
        <v>9</v>
      </c>
      <c r="D198" s="38">
        <v>774</v>
      </c>
      <c r="E198" s="37" t="s">
        <v>8</v>
      </c>
      <c r="F198" s="37" t="s">
        <v>136</v>
      </c>
      <c r="G198" s="38">
        <v>100</v>
      </c>
      <c r="H198" s="32">
        <v>599.4</v>
      </c>
      <c r="I198" s="32">
        <v>0</v>
      </c>
      <c r="J198" s="32">
        <v>0</v>
      </c>
      <c r="K198" s="32">
        <v>0</v>
      </c>
      <c r="L198" s="27">
        <f t="shared" si="50"/>
        <v>599.4</v>
      </c>
      <c r="M198" s="32">
        <f t="shared" si="51"/>
        <v>599.4</v>
      </c>
      <c r="N198" s="32">
        <v>0</v>
      </c>
      <c r="O198" s="32">
        <f t="shared" si="53"/>
        <v>0</v>
      </c>
      <c r="P198" s="32">
        <v>0</v>
      </c>
      <c r="Q198" s="27">
        <f t="shared" si="40"/>
        <v>599.4</v>
      </c>
      <c r="R198" s="36">
        <f t="shared" si="41"/>
        <v>1</v>
      </c>
      <c r="S198" s="46">
        <f t="shared" si="42"/>
        <v>0</v>
      </c>
      <c r="T198" s="26"/>
      <c r="U198" s="27">
        <f t="shared" si="43"/>
        <v>0</v>
      </c>
      <c r="V198" s="27">
        <f t="shared" si="44"/>
        <v>0</v>
      </c>
      <c r="W198" s="27">
        <f t="shared" si="45"/>
        <v>0</v>
      </c>
      <c r="Y198" s="2"/>
    </row>
    <row r="199" spans="1:25" s="3" customFormat="1" ht="47.25">
      <c r="A199" s="43" t="s">
        <v>156</v>
      </c>
      <c r="B199" s="55" t="s">
        <v>356</v>
      </c>
      <c r="C199" s="38" t="s">
        <v>9</v>
      </c>
      <c r="D199" s="38">
        <v>774</v>
      </c>
      <c r="E199" s="37" t="s">
        <v>8</v>
      </c>
      <c r="F199" s="37" t="s">
        <v>136</v>
      </c>
      <c r="G199" s="38">
        <v>200</v>
      </c>
      <c r="H199" s="32">
        <v>797.1</v>
      </c>
      <c r="I199" s="32">
        <v>0</v>
      </c>
      <c r="J199" s="32"/>
      <c r="K199" s="32">
        <v>0</v>
      </c>
      <c r="L199" s="27">
        <f t="shared" si="50"/>
        <v>797.1</v>
      </c>
      <c r="M199" s="32">
        <f t="shared" si="51"/>
        <v>797.1</v>
      </c>
      <c r="N199" s="32">
        <v>0</v>
      </c>
      <c r="O199" s="32">
        <f t="shared" si="53"/>
        <v>0</v>
      </c>
      <c r="P199" s="32">
        <v>0</v>
      </c>
      <c r="Q199" s="27">
        <f t="shared" si="40"/>
        <v>797.1</v>
      </c>
      <c r="R199" s="36">
        <f t="shared" si="41"/>
        <v>1</v>
      </c>
      <c r="S199" s="46">
        <f t="shared" si="42"/>
        <v>0</v>
      </c>
      <c r="T199" s="26"/>
      <c r="U199" s="27">
        <f t="shared" si="43"/>
        <v>0</v>
      </c>
      <c r="V199" s="27">
        <f t="shared" si="44"/>
        <v>0</v>
      </c>
      <c r="W199" s="27">
        <f t="shared" si="45"/>
        <v>0</v>
      </c>
      <c r="Y199" s="2"/>
    </row>
    <row r="200" spans="1:25" s="3" customFormat="1" ht="15.75">
      <c r="A200" s="43" t="s">
        <v>53</v>
      </c>
      <c r="B200" s="55" t="s">
        <v>357</v>
      </c>
      <c r="C200" s="38" t="s">
        <v>9</v>
      </c>
      <c r="D200" s="38">
        <v>774</v>
      </c>
      <c r="E200" s="37" t="s">
        <v>8</v>
      </c>
      <c r="F200" s="37" t="s">
        <v>136</v>
      </c>
      <c r="G200" s="38">
        <v>800</v>
      </c>
      <c r="H200" s="32">
        <v>1083.3</v>
      </c>
      <c r="I200" s="32">
        <v>0</v>
      </c>
      <c r="J200" s="32">
        <v>0</v>
      </c>
      <c r="K200" s="32">
        <v>0</v>
      </c>
      <c r="L200" s="27">
        <f t="shared" si="50"/>
        <v>1083.3</v>
      </c>
      <c r="M200" s="32">
        <f t="shared" si="51"/>
        <v>1083.3</v>
      </c>
      <c r="N200" s="32">
        <v>0</v>
      </c>
      <c r="O200" s="32">
        <f t="shared" si="53"/>
        <v>0</v>
      </c>
      <c r="P200" s="32">
        <v>0</v>
      </c>
      <c r="Q200" s="27">
        <f t="shared" si="40"/>
        <v>1083.3</v>
      </c>
      <c r="R200" s="36">
        <f t="shared" si="41"/>
        <v>1</v>
      </c>
      <c r="S200" s="46">
        <f t="shared" si="42"/>
        <v>0</v>
      </c>
      <c r="T200" s="26"/>
      <c r="U200" s="27">
        <f t="shared" si="43"/>
        <v>0</v>
      </c>
      <c r="V200" s="27">
        <f t="shared" si="44"/>
        <v>0</v>
      </c>
      <c r="W200" s="27">
        <f t="shared" si="45"/>
        <v>0</v>
      </c>
      <c r="Y200" s="2"/>
    </row>
    <row r="201" spans="1:25" s="3" customFormat="1" ht="15.75" customHeight="1">
      <c r="A201" s="43" t="s">
        <v>52</v>
      </c>
      <c r="B201" s="55" t="s">
        <v>358</v>
      </c>
      <c r="C201" s="38" t="s">
        <v>9</v>
      </c>
      <c r="D201" s="38">
        <v>774</v>
      </c>
      <c r="E201" s="37" t="s">
        <v>8</v>
      </c>
      <c r="F201" s="37" t="s">
        <v>137</v>
      </c>
      <c r="G201" s="38" t="s">
        <v>5</v>
      </c>
      <c r="H201" s="32">
        <v>136</v>
      </c>
      <c r="I201" s="10">
        <v>0</v>
      </c>
      <c r="J201" s="10">
        <v>0</v>
      </c>
      <c r="K201" s="10">
        <v>0</v>
      </c>
      <c r="L201" s="27">
        <f t="shared" si="50"/>
        <v>136</v>
      </c>
      <c r="M201" s="32">
        <f t="shared" si="51"/>
        <v>136</v>
      </c>
      <c r="N201" s="10">
        <v>0</v>
      </c>
      <c r="O201" s="10">
        <f t="shared" si="53"/>
        <v>0</v>
      </c>
      <c r="P201" s="10">
        <v>0</v>
      </c>
      <c r="Q201" s="27">
        <f t="shared" si="40"/>
        <v>136</v>
      </c>
      <c r="R201" s="36">
        <f t="shared" si="41"/>
        <v>1</v>
      </c>
      <c r="S201" s="46">
        <f t="shared" si="42"/>
        <v>0</v>
      </c>
      <c r="T201" s="26"/>
      <c r="U201" s="27">
        <f t="shared" si="43"/>
        <v>0</v>
      </c>
      <c r="V201" s="27">
        <f t="shared" si="44"/>
        <v>0</v>
      </c>
      <c r="W201" s="27">
        <f t="shared" si="45"/>
        <v>0</v>
      </c>
      <c r="Y201" s="2"/>
    </row>
    <row r="202" spans="1:25" s="23" customFormat="1" ht="52.5" customHeight="1">
      <c r="A202" s="41"/>
      <c r="B202" s="62" t="s">
        <v>359</v>
      </c>
      <c r="C202" s="26" t="s">
        <v>5</v>
      </c>
      <c r="D202" s="26"/>
      <c r="E202" s="48"/>
      <c r="F202" s="48"/>
      <c r="G202" s="26"/>
      <c r="H202" s="27">
        <f>SUM(H203:H211)</f>
        <v>7830.7</v>
      </c>
      <c r="I202" s="65">
        <f>SUM(I203:I211)</f>
        <v>0</v>
      </c>
      <c r="J202" s="65">
        <f>SUM(J203:J211)</f>
        <v>6252.3</v>
      </c>
      <c r="K202" s="65">
        <f>SUM(K203:K211)</f>
        <v>0</v>
      </c>
      <c r="L202" s="27">
        <f t="shared" si="50"/>
        <v>14083</v>
      </c>
      <c r="M202" s="27">
        <f>SUM(M203:M211)</f>
        <v>6252.1</v>
      </c>
      <c r="N202" s="65">
        <f>SUM(N203:N211)</f>
        <v>0</v>
      </c>
      <c r="O202" s="65">
        <f>SUM(O203:O211)</f>
        <v>4962.4</v>
      </c>
      <c r="P202" s="65">
        <f>SUM(P203:P211)</f>
        <v>0</v>
      </c>
      <c r="Q202" s="27">
        <f aca="true" t="shared" si="54" ref="Q202:Q210">M202+N202+O202+P202</f>
        <v>11214.5</v>
      </c>
      <c r="R202" s="36">
        <f aca="true" t="shared" si="55" ref="R202:R210">Q202/L202*100%</f>
        <v>0.7963</v>
      </c>
      <c r="S202" s="46"/>
      <c r="T202" s="26"/>
      <c r="U202" s="27"/>
      <c r="V202" s="27"/>
      <c r="W202" s="27"/>
      <c r="Y202" s="2"/>
    </row>
    <row r="203" spans="1:25" s="3" customFormat="1" ht="15.75" customHeight="1">
      <c r="A203" s="44"/>
      <c r="B203" s="66" t="s">
        <v>360</v>
      </c>
      <c r="C203" s="38" t="s">
        <v>34</v>
      </c>
      <c r="D203" s="38"/>
      <c r="E203" s="37"/>
      <c r="F203" s="37"/>
      <c r="G203" s="38"/>
      <c r="H203" s="32">
        <v>1500</v>
      </c>
      <c r="I203" s="10"/>
      <c r="J203" s="10">
        <v>1500</v>
      </c>
      <c r="K203" s="63">
        <v>0</v>
      </c>
      <c r="L203" s="27">
        <f t="shared" si="50"/>
        <v>3000</v>
      </c>
      <c r="M203" s="10">
        <v>1500</v>
      </c>
      <c r="N203" s="10">
        <v>0</v>
      </c>
      <c r="O203" s="10">
        <v>210.3</v>
      </c>
      <c r="P203" s="10">
        <v>0</v>
      </c>
      <c r="Q203" s="27">
        <f t="shared" si="54"/>
        <v>1710.3</v>
      </c>
      <c r="R203" s="36">
        <f t="shared" si="55"/>
        <v>0.5701</v>
      </c>
      <c r="S203" s="46"/>
      <c r="T203" s="26"/>
      <c r="U203" s="27"/>
      <c r="V203" s="27"/>
      <c r="W203" s="27"/>
      <c r="Y203" s="2"/>
    </row>
    <row r="204" spans="1:25" s="3" customFormat="1" ht="33" customHeight="1">
      <c r="A204" s="44"/>
      <c r="B204" s="55" t="s">
        <v>369</v>
      </c>
      <c r="C204" s="38" t="s">
        <v>34</v>
      </c>
      <c r="D204" s="38"/>
      <c r="E204" s="37"/>
      <c r="F204" s="37"/>
      <c r="G204" s="38"/>
      <c r="H204" s="32">
        <v>969.4</v>
      </c>
      <c r="I204" s="10"/>
      <c r="J204" s="10">
        <v>863.6</v>
      </c>
      <c r="K204" s="63">
        <v>0</v>
      </c>
      <c r="L204" s="27">
        <f t="shared" si="50"/>
        <v>1833</v>
      </c>
      <c r="M204" s="10">
        <v>863.5</v>
      </c>
      <c r="N204" s="10">
        <v>0</v>
      </c>
      <c r="O204" s="10">
        <v>863.5</v>
      </c>
      <c r="P204" s="10">
        <v>0</v>
      </c>
      <c r="Q204" s="27">
        <f t="shared" si="54"/>
        <v>1727</v>
      </c>
      <c r="R204" s="36">
        <f t="shared" si="55"/>
        <v>0.9422</v>
      </c>
      <c r="S204" s="46"/>
      <c r="T204" s="26"/>
      <c r="U204" s="27"/>
      <c r="V204" s="27"/>
      <c r="W204" s="27"/>
      <c r="Y204" s="2"/>
    </row>
    <row r="205" spans="1:25" s="3" customFormat="1" ht="31.5">
      <c r="A205" s="44"/>
      <c r="B205" s="55" t="s">
        <v>361</v>
      </c>
      <c r="C205" s="38" t="s">
        <v>34</v>
      </c>
      <c r="D205" s="38"/>
      <c r="E205" s="37"/>
      <c r="F205" s="37"/>
      <c r="G205" s="38"/>
      <c r="H205" s="32">
        <v>609.4</v>
      </c>
      <c r="I205" s="10"/>
      <c r="J205" s="10">
        <v>347.5</v>
      </c>
      <c r="K205" s="63">
        <v>0</v>
      </c>
      <c r="L205" s="27">
        <f t="shared" si="50"/>
        <v>956.9</v>
      </c>
      <c r="M205" s="10">
        <v>347.4</v>
      </c>
      <c r="N205" s="10">
        <v>0</v>
      </c>
      <c r="O205" s="10">
        <v>347.4</v>
      </c>
      <c r="P205" s="10">
        <v>0</v>
      </c>
      <c r="Q205" s="27">
        <f t="shared" si="54"/>
        <v>694.8</v>
      </c>
      <c r="R205" s="36">
        <f t="shared" si="55"/>
        <v>0.7261</v>
      </c>
      <c r="S205" s="46"/>
      <c r="T205" s="26"/>
      <c r="U205" s="27"/>
      <c r="V205" s="27"/>
      <c r="W205" s="27"/>
      <c r="Y205" s="2"/>
    </row>
    <row r="206" spans="1:25" s="3" customFormat="1" ht="31.5">
      <c r="A206" s="44"/>
      <c r="B206" s="55" t="s">
        <v>362</v>
      </c>
      <c r="C206" s="38" t="s">
        <v>34</v>
      </c>
      <c r="D206" s="38"/>
      <c r="E206" s="37"/>
      <c r="F206" s="37"/>
      <c r="G206" s="38"/>
      <c r="H206" s="32">
        <v>1000</v>
      </c>
      <c r="I206" s="10"/>
      <c r="J206" s="10">
        <v>809.2</v>
      </c>
      <c r="K206" s="63">
        <v>0</v>
      </c>
      <c r="L206" s="27">
        <f t="shared" si="50"/>
        <v>1809.2</v>
      </c>
      <c r="M206" s="10">
        <v>809.2</v>
      </c>
      <c r="N206" s="10">
        <v>0</v>
      </c>
      <c r="O206" s="10">
        <v>809.2</v>
      </c>
      <c r="P206" s="10">
        <v>0</v>
      </c>
      <c r="Q206" s="27">
        <f t="shared" si="54"/>
        <v>1618.4</v>
      </c>
      <c r="R206" s="36">
        <f t="shared" si="55"/>
        <v>0.8945</v>
      </c>
      <c r="S206" s="46"/>
      <c r="T206" s="26"/>
      <c r="U206" s="27"/>
      <c r="V206" s="27"/>
      <c r="W206" s="27"/>
      <c r="Y206" s="2"/>
    </row>
    <row r="207" spans="1:25" s="3" customFormat="1" ht="31.5">
      <c r="A207" s="44"/>
      <c r="B207" s="55" t="s">
        <v>363</v>
      </c>
      <c r="C207" s="38" t="s">
        <v>34</v>
      </c>
      <c r="D207" s="38"/>
      <c r="E207" s="37"/>
      <c r="F207" s="37"/>
      <c r="G207" s="38"/>
      <c r="H207" s="32">
        <v>746.7</v>
      </c>
      <c r="I207" s="10"/>
      <c r="J207" s="10">
        <v>578.8</v>
      </c>
      <c r="K207" s="63">
        <v>0</v>
      </c>
      <c r="L207" s="27">
        <f t="shared" si="50"/>
        <v>1325.5</v>
      </c>
      <c r="M207" s="10">
        <v>578.8</v>
      </c>
      <c r="N207" s="10">
        <v>0</v>
      </c>
      <c r="O207" s="10">
        <v>578.8</v>
      </c>
      <c r="P207" s="10">
        <v>0</v>
      </c>
      <c r="Q207" s="27">
        <f t="shared" si="54"/>
        <v>1157.6</v>
      </c>
      <c r="R207" s="36">
        <f t="shared" si="55"/>
        <v>0.8733</v>
      </c>
      <c r="S207" s="46"/>
      <c r="T207" s="26"/>
      <c r="U207" s="27"/>
      <c r="V207" s="27"/>
      <c r="W207" s="27"/>
      <c r="Y207" s="2"/>
    </row>
    <row r="208" spans="1:25" s="3" customFormat="1" ht="31.5">
      <c r="A208" s="44"/>
      <c r="B208" s="55" t="s">
        <v>364</v>
      </c>
      <c r="C208" s="38" t="s">
        <v>34</v>
      </c>
      <c r="D208" s="38"/>
      <c r="E208" s="37"/>
      <c r="F208" s="37"/>
      <c r="G208" s="38"/>
      <c r="H208" s="32">
        <v>923.2</v>
      </c>
      <c r="I208" s="10"/>
      <c r="J208" s="10">
        <v>729.1</v>
      </c>
      <c r="K208" s="63">
        <v>0</v>
      </c>
      <c r="L208" s="27">
        <f t="shared" si="50"/>
        <v>1652.3</v>
      </c>
      <c r="M208" s="10">
        <v>729.1</v>
      </c>
      <c r="N208" s="10">
        <v>0</v>
      </c>
      <c r="O208" s="10">
        <v>729.1</v>
      </c>
      <c r="P208" s="10">
        <v>0</v>
      </c>
      <c r="Q208" s="27">
        <f t="shared" si="54"/>
        <v>1458.2</v>
      </c>
      <c r="R208" s="36">
        <f t="shared" si="55"/>
        <v>0.8825</v>
      </c>
      <c r="S208" s="46"/>
      <c r="T208" s="26"/>
      <c r="U208" s="27"/>
      <c r="V208" s="27"/>
      <c r="W208" s="27"/>
      <c r="Y208" s="2"/>
    </row>
    <row r="209" spans="1:25" s="3" customFormat="1" ht="31.5">
      <c r="A209" s="44"/>
      <c r="B209" s="55" t="s">
        <v>365</v>
      </c>
      <c r="C209" s="38" t="s">
        <v>34</v>
      </c>
      <c r="D209" s="38"/>
      <c r="E209" s="37"/>
      <c r="F209" s="37"/>
      <c r="G209" s="38"/>
      <c r="H209" s="32">
        <v>921.6</v>
      </c>
      <c r="I209" s="10"/>
      <c r="J209" s="10">
        <v>557</v>
      </c>
      <c r="K209" s="63">
        <v>0</v>
      </c>
      <c r="L209" s="27">
        <f t="shared" si="50"/>
        <v>1478.6</v>
      </c>
      <c r="M209" s="10">
        <v>557</v>
      </c>
      <c r="N209" s="10">
        <v>0</v>
      </c>
      <c r="O209" s="10">
        <v>557</v>
      </c>
      <c r="P209" s="10">
        <v>0</v>
      </c>
      <c r="Q209" s="27">
        <f t="shared" si="54"/>
        <v>1114</v>
      </c>
      <c r="R209" s="36">
        <f t="shared" si="55"/>
        <v>0.7534</v>
      </c>
      <c r="S209" s="46"/>
      <c r="T209" s="26"/>
      <c r="U209" s="27"/>
      <c r="V209" s="27"/>
      <c r="W209" s="27"/>
      <c r="Y209" s="2"/>
    </row>
    <row r="210" spans="1:25" s="3" customFormat="1" ht="31.5">
      <c r="A210" s="44"/>
      <c r="B210" s="55" t="s">
        <v>366</v>
      </c>
      <c r="C210" s="38" t="s">
        <v>34</v>
      </c>
      <c r="D210" s="38"/>
      <c r="E210" s="37"/>
      <c r="F210" s="37"/>
      <c r="G210" s="38"/>
      <c r="H210" s="32">
        <v>270.2</v>
      </c>
      <c r="I210" s="10"/>
      <c r="J210" s="10">
        <v>221.9</v>
      </c>
      <c r="K210" s="63">
        <v>0</v>
      </c>
      <c r="L210" s="27">
        <f t="shared" si="50"/>
        <v>492.1</v>
      </c>
      <c r="M210" s="10">
        <v>221.9</v>
      </c>
      <c r="N210" s="10">
        <v>0</v>
      </c>
      <c r="O210" s="10">
        <v>221.9</v>
      </c>
      <c r="P210" s="10">
        <v>0</v>
      </c>
      <c r="Q210" s="27">
        <f t="shared" si="54"/>
        <v>443.8</v>
      </c>
      <c r="R210" s="36">
        <f t="shared" si="55"/>
        <v>0.9018</v>
      </c>
      <c r="S210" s="46"/>
      <c r="T210" s="26"/>
      <c r="U210" s="27"/>
      <c r="V210" s="27"/>
      <c r="W210" s="27"/>
      <c r="Y210" s="2"/>
    </row>
    <row r="211" spans="1:25" s="3" customFormat="1" ht="31.5">
      <c r="A211" s="44" t="s">
        <v>157</v>
      </c>
      <c r="B211" s="55" t="s">
        <v>367</v>
      </c>
      <c r="C211" s="38" t="s">
        <v>34</v>
      </c>
      <c r="D211" s="38">
        <v>774</v>
      </c>
      <c r="E211" s="37" t="s">
        <v>8</v>
      </c>
      <c r="F211" s="37" t="s">
        <v>137</v>
      </c>
      <c r="G211" s="38" t="s">
        <v>5</v>
      </c>
      <c r="H211" s="32">
        <f>890.1+0.1</f>
        <v>890.2</v>
      </c>
      <c r="I211" s="10"/>
      <c r="J211" s="10">
        <v>645.2</v>
      </c>
      <c r="K211" s="63">
        <v>0</v>
      </c>
      <c r="L211" s="27">
        <f t="shared" si="50"/>
        <v>1535.4</v>
      </c>
      <c r="M211" s="10">
        <v>645.2</v>
      </c>
      <c r="N211" s="10">
        <v>0</v>
      </c>
      <c r="O211" s="10">
        <v>645.2</v>
      </c>
      <c r="P211" s="10">
        <v>0</v>
      </c>
      <c r="Q211" s="27">
        <f t="shared" si="40"/>
        <v>1290.4</v>
      </c>
      <c r="R211" s="36">
        <f t="shared" si="41"/>
        <v>0.8404</v>
      </c>
      <c r="S211" s="46">
        <f t="shared" si="42"/>
        <v>245</v>
      </c>
      <c r="T211" s="26"/>
      <c r="U211" s="27">
        <f t="shared" si="43"/>
        <v>0</v>
      </c>
      <c r="V211" s="27">
        <f t="shared" si="44"/>
        <v>0</v>
      </c>
      <c r="W211" s="27">
        <f t="shared" si="45"/>
        <v>245</v>
      </c>
      <c r="Y211" s="2"/>
    </row>
    <row r="212" spans="2:25" ht="15.75">
      <c r="B212" s="71" t="s">
        <v>274</v>
      </c>
      <c r="C212" s="26" t="s">
        <v>5</v>
      </c>
      <c r="D212" s="38"/>
      <c r="E212" s="38"/>
      <c r="F212" s="37"/>
      <c r="G212" s="38"/>
      <c r="H212" s="27">
        <f>H213</f>
        <v>32000.7</v>
      </c>
      <c r="I212" s="27">
        <f aca="true" t="shared" si="56" ref="I212:P212">I213</f>
        <v>0</v>
      </c>
      <c r="J212" s="27">
        <f t="shared" si="56"/>
        <v>1181</v>
      </c>
      <c r="K212" s="27">
        <f t="shared" si="56"/>
        <v>0</v>
      </c>
      <c r="L212" s="27">
        <f aca="true" t="shared" si="57" ref="L212:L220">H212+I212+J212+K212</f>
        <v>33181.7</v>
      </c>
      <c r="M212" s="27">
        <f>M213</f>
        <v>31973.2</v>
      </c>
      <c r="N212" s="27">
        <f t="shared" si="56"/>
        <v>0</v>
      </c>
      <c r="O212" s="27">
        <f t="shared" si="56"/>
        <v>1157.7</v>
      </c>
      <c r="P212" s="27">
        <f t="shared" si="56"/>
        <v>0</v>
      </c>
      <c r="Q212" s="27">
        <f aca="true" t="shared" si="58" ref="Q212:Q220">M212+N212+O212+P212</f>
        <v>33130.9</v>
      </c>
      <c r="R212" s="36">
        <f aca="true" t="shared" si="59" ref="R212:R220">Q212/L212*100%</f>
        <v>0.9985</v>
      </c>
      <c r="S212" s="46">
        <f aca="true" t="shared" si="60" ref="S212:S220">H212-M212</f>
        <v>27.5</v>
      </c>
      <c r="T212" s="26"/>
      <c r="U212" s="27">
        <f aca="true" t="shared" si="61" ref="U212:U220">J212-O212</f>
        <v>23.3</v>
      </c>
      <c r="V212" s="27">
        <f aca="true" t="shared" si="62" ref="V212:V220">P212-K212</f>
        <v>0</v>
      </c>
      <c r="W212" s="27">
        <f aca="true" t="shared" si="63" ref="W212:W220">L212-Q212</f>
        <v>50.8</v>
      </c>
      <c r="Y212" s="2"/>
    </row>
    <row r="213" spans="2:25" ht="15.75">
      <c r="B213" s="71"/>
      <c r="C213" s="26" t="s">
        <v>9</v>
      </c>
      <c r="D213" s="38"/>
      <c r="E213" s="38"/>
      <c r="F213" s="37"/>
      <c r="G213" s="38"/>
      <c r="H213" s="27">
        <f>H214+H218</f>
        <v>32000.7</v>
      </c>
      <c r="I213" s="27">
        <f>I215+I220</f>
        <v>0</v>
      </c>
      <c r="J213" s="27">
        <f>J214+J218</f>
        <v>1181</v>
      </c>
      <c r="K213" s="27">
        <f>K215+K220</f>
        <v>0</v>
      </c>
      <c r="L213" s="27">
        <f t="shared" si="57"/>
        <v>33181.7</v>
      </c>
      <c r="M213" s="27">
        <f>M214+M218</f>
        <v>31973.2</v>
      </c>
      <c r="N213" s="27">
        <f>N215+N220</f>
        <v>0</v>
      </c>
      <c r="O213" s="27">
        <f>O214+O218</f>
        <v>1157.7</v>
      </c>
      <c r="P213" s="27">
        <f>P215+P220</f>
        <v>0</v>
      </c>
      <c r="Q213" s="27">
        <f t="shared" si="58"/>
        <v>33130.9</v>
      </c>
      <c r="R213" s="36">
        <f t="shared" si="59"/>
        <v>0.9985</v>
      </c>
      <c r="S213" s="46">
        <f t="shared" si="60"/>
        <v>27.5</v>
      </c>
      <c r="T213" s="26"/>
      <c r="U213" s="27">
        <f t="shared" si="61"/>
        <v>23.3</v>
      </c>
      <c r="V213" s="27">
        <f t="shared" si="62"/>
        <v>0</v>
      </c>
      <c r="W213" s="27">
        <f t="shared" si="63"/>
        <v>50.8</v>
      </c>
      <c r="Y213" s="2"/>
    </row>
    <row r="214" spans="2:25" ht="15.75">
      <c r="B214" s="33" t="s">
        <v>96</v>
      </c>
      <c r="C214" s="38" t="s">
        <v>9</v>
      </c>
      <c r="D214" s="38"/>
      <c r="E214" s="38"/>
      <c r="F214" s="37"/>
      <c r="G214" s="38"/>
      <c r="H214" s="32">
        <f>H215+H216+H217</f>
        <v>10114.1</v>
      </c>
      <c r="I214" s="32">
        <f>I215+I216+I217</f>
        <v>0</v>
      </c>
      <c r="J214" s="32">
        <f>J215+J216+J217</f>
        <v>695.7</v>
      </c>
      <c r="K214" s="32">
        <f>K215+K216+K217</f>
        <v>0</v>
      </c>
      <c r="L214" s="27">
        <f t="shared" si="57"/>
        <v>10809.8</v>
      </c>
      <c r="M214" s="32">
        <f>M215+M216+M217</f>
        <v>10102.7</v>
      </c>
      <c r="N214" s="32">
        <f>N215+N216+N217</f>
        <v>0</v>
      </c>
      <c r="O214" s="32">
        <f>O215+O216+O217</f>
        <v>690.4</v>
      </c>
      <c r="P214" s="32">
        <f>P215+P216+P217</f>
        <v>0</v>
      </c>
      <c r="Q214" s="27">
        <f t="shared" si="58"/>
        <v>10793.1</v>
      </c>
      <c r="R214" s="36">
        <f t="shared" si="59"/>
        <v>0.9985</v>
      </c>
      <c r="S214" s="46">
        <f t="shared" si="60"/>
        <v>11.4</v>
      </c>
      <c r="T214" s="26"/>
      <c r="U214" s="27">
        <f t="shared" si="61"/>
        <v>5.3</v>
      </c>
      <c r="V214" s="27">
        <f t="shared" si="62"/>
        <v>0</v>
      </c>
      <c r="W214" s="27">
        <f t="shared" si="63"/>
        <v>16.7</v>
      </c>
      <c r="Y214" s="2"/>
    </row>
    <row r="215" spans="2:25" ht="15.75">
      <c r="B215" s="34" t="s">
        <v>135</v>
      </c>
      <c r="C215" s="38" t="s">
        <v>9</v>
      </c>
      <c r="D215" s="38"/>
      <c r="E215" s="38"/>
      <c r="F215" s="37"/>
      <c r="G215" s="38"/>
      <c r="H215" s="32">
        <v>10114.1</v>
      </c>
      <c r="I215" s="10">
        <v>0</v>
      </c>
      <c r="J215" s="10">
        <v>0</v>
      </c>
      <c r="K215" s="10">
        <v>0</v>
      </c>
      <c r="L215" s="27">
        <f t="shared" si="57"/>
        <v>10114.1</v>
      </c>
      <c r="M215" s="10">
        <v>10102.7</v>
      </c>
      <c r="N215" s="10">
        <v>0</v>
      </c>
      <c r="O215" s="10">
        <v>0</v>
      </c>
      <c r="P215" s="10">
        <v>0</v>
      </c>
      <c r="Q215" s="27">
        <f t="shared" si="58"/>
        <v>10102.7</v>
      </c>
      <c r="R215" s="36">
        <f t="shared" si="59"/>
        <v>0.9989</v>
      </c>
      <c r="S215" s="46">
        <f t="shared" si="60"/>
        <v>11.4</v>
      </c>
      <c r="T215" s="26"/>
      <c r="U215" s="27">
        <f t="shared" si="61"/>
        <v>0</v>
      </c>
      <c r="V215" s="27">
        <f t="shared" si="62"/>
        <v>0</v>
      </c>
      <c r="W215" s="27">
        <f t="shared" si="63"/>
        <v>11.4</v>
      </c>
      <c r="Y215" s="2"/>
    </row>
    <row r="216" spans="2:25" ht="15.75">
      <c r="B216" s="35" t="s">
        <v>193</v>
      </c>
      <c r="C216" s="29" t="s">
        <v>9</v>
      </c>
      <c r="D216" s="29"/>
      <c r="E216" s="29"/>
      <c r="F216" s="30"/>
      <c r="G216" s="29"/>
      <c r="H216" s="10">
        <v>0</v>
      </c>
      <c r="I216" s="10">
        <v>0</v>
      </c>
      <c r="J216" s="10">
        <v>54.5</v>
      </c>
      <c r="K216" s="10">
        <v>0</v>
      </c>
      <c r="L216" s="27">
        <f t="shared" si="57"/>
        <v>54.5</v>
      </c>
      <c r="M216" s="10">
        <v>0</v>
      </c>
      <c r="N216" s="10">
        <v>0</v>
      </c>
      <c r="O216" s="10">
        <v>53.6</v>
      </c>
      <c r="P216" s="10">
        <v>0</v>
      </c>
      <c r="Q216" s="27">
        <f t="shared" si="58"/>
        <v>53.6</v>
      </c>
      <c r="R216" s="36">
        <f>Q216/L216*100%</f>
        <v>0.9835</v>
      </c>
      <c r="S216" s="27"/>
      <c r="T216" s="26"/>
      <c r="U216" s="27"/>
      <c r="V216" s="27"/>
      <c r="W216" s="27"/>
      <c r="Y216" s="2"/>
    </row>
    <row r="217" spans="2:25" ht="31.5">
      <c r="B217" s="35" t="s">
        <v>370</v>
      </c>
      <c r="C217" s="29" t="s">
        <v>9</v>
      </c>
      <c r="D217" s="29"/>
      <c r="E217" s="29"/>
      <c r="F217" s="30"/>
      <c r="G217" s="29"/>
      <c r="H217" s="10">
        <v>0</v>
      </c>
      <c r="I217" s="10">
        <v>0</v>
      </c>
      <c r="J217" s="10">
        <v>641.2</v>
      </c>
      <c r="K217" s="10">
        <v>0</v>
      </c>
      <c r="L217" s="27">
        <f t="shared" si="57"/>
        <v>641.2</v>
      </c>
      <c r="M217" s="10">
        <v>0</v>
      </c>
      <c r="N217" s="10">
        <v>0</v>
      </c>
      <c r="O217" s="10">
        <v>636.8</v>
      </c>
      <c r="P217" s="10">
        <v>0</v>
      </c>
      <c r="Q217" s="27">
        <f t="shared" si="58"/>
        <v>636.8</v>
      </c>
      <c r="R217" s="36">
        <f>Q217/L217*100%</f>
        <v>0.9931</v>
      </c>
      <c r="S217" s="27"/>
      <c r="T217" s="26"/>
      <c r="U217" s="27"/>
      <c r="V217" s="27"/>
      <c r="W217" s="27"/>
      <c r="Y217" s="2"/>
    </row>
    <row r="218" spans="2:25" ht="15.75">
      <c r="B218" s="33" t="s">
        <v>97</v>
      </c>
      <c r="C218" s="29" t="s">
        <v>9</v>
      </c>
      <c r="D218" s="29"/>
      <c r="E218" s="29"/>
      <c r="F218" s="30"/>
      <c r="G218" s="29"/>
      <c r="H218" s="32">
        <f>H220+H219</f>
        <v>21886.6</v>
      </c>
      <c r="I218" s="32">
        <f>I220+I219</f>
        <v>0</v>
      </c>
      <c r="J218" s="32">
        <f>J220+J219</f>
        <v>485.3</v>
      </c>
      <c r="K218" s="32">
        <f>K220+K219</f>
        <v>0</v>
      </c>
      <c r="L218" s="27">
        <f t="shared" si="57"/>
        <v>22371.9</v>
      </c>
      <c r="M218" s="32">
        <f>M220+M219</f>
        <v>21870.5</v>
      </c>
      <c r="N218" s="32">
        <f>N220+N219</f>
        <v>0</v>
      </c>
      <c r="O218" s="32">
        <f>O220+O219</f>
        <v>467.3</v>
      </c>
      <c r="P218" s="32">
        <f>P220+P219</f>
        <v>0</v>
      </c>
      <c r="Q218" s="27">
        <f t="shared" si="58"/>
        <v>22337.8</v>
      </c>
      <c r="R218" s="36">
        <f t="shared" si="59"/>
        <v>0.9985</v>
      </c>
      <c r="S218" s="27">
        <f t="shared" si="60"/>
        <v>16.1</v>
      </c>
      <c r="T218" s="26"/>
      <c r="U218" s="27">
        <f t="shared" si="61"/>
        <v>18</v>
      </c>
      <c r="V218" s="27">
        <f t="shared" si="62"/>
        <v>0</v>
      </c>
      <c r="W218" s="27">
        <f t="shared" si="63"/>
        <v>34.1</v>
      </c>
      <c r="Y218" s="2"/>
    </row>
    <row r="219" spans="2:25" ht="15" customHeight="1">
      <c r="B219" s="34" t="s">
        <v>104</v>
      </c>
      <c r="C219" s="29" t="s">
        <v>9</v>
      </c>
      <c r="D219" s="29"/>
      <c r="E219" s="29"/>
      <c r="F219" s="30"/>
      <c r="G219" s="29"/>
      <c r="H219" s="32">
        <v>21886.6</v>
      </c>
      <c r="I219" s="10">
        <v>0</v>
      </c>
      <c r="J219" s="10">
        <v>0</v>
      </c>
      <c r="K219" s="10">
        <v>0</v>
      </c>
      <c r="L219" s="27">
        <f>H219+I219+J219+K219</f>
        <v>21886.6</v>
      </c>
      <c r="M219" s="10">
        <v>21870.5</v>
      </c>
      <c r="N219" s="10">
        <v>0</v>
      </c>
      <c r="O219" s="10">
        <v>0</v>
      </c>
      <c r="P219" s="10">
        <v>0</v>
      </c>
      <c r="Q219" s="27">
        <f t="shared" si="58"/>
        <v>21870.5</v>
      </c>
      <c r="R219" s="36">
        <f>Q219/L219*100%</f>
        <v>0.9993</v>
      </c>
      <c r="S219" s="27">
        <f>H219-M219</f>
        <v>16.1</v>
      </c>
      <c r="T219" s="26"/>
      <c r="U219" s="27">
        <f>J219-O219</f>
        <v>0</v>
      </c>
      <c r="V219" s="27">
        <f>P219-K219</f>
        <v>0</v>
      </c>
      <c r="W219" s="27">
        <f>L219-Q219</f>
        <v>16.1</v>
      </c>
      <c r="Y219" s="2"/>
    </row>
    <row r="220" spans="2:25" ht="15" customHeight="1">
      <c r="B220" s="35" t="s">
        <v>193</v>
      </c>
      <c r="C220" s="29" t="s">
        <v>9</v>
      </c>
      <c r="D220" s="29"/>
      <c r="E220" s="29"/>
      <c r="F220" s="30"/>
      <c r="G220" s="29"/>
      <c r="H220" s="32"/>
      <c r="I220" s="10">
        <v>0</v>
      </c>
      <c r="J220" s="10">
        <v>485.3</v>
      </c>
      <c r="K220" s="10">
        <v>0</v>
      </c>
      <c r="L220" s="27">
        <f t="shared" si="57"/>
        <v>485.3</v>
      </c>
      <c r="M220" s="10">
        <v>0</v>
      </c>
      <c r="N220" s="10">
        <v>0</v>
      </c>
      <c r="O220" s="10">
        <v>467.3</v>
      </c>
      <c r="P220" s="10">
        <v>0</v>
      </c>
      <c r="Q220" s="27">
        <f t="shared" si="58"/>
        <v>467.3</v>
      </c>
      <c r="R220" s="36">
        <f t="shared" si="59"/>
        <v>0.9629</v>
      </c>
      <c r="S220" s="27">
        <f t="shared" si="60"/>
        <v>0</v>
      </c>
      <c r="T220" s="26"/>
      <c r="U220" s="27">
        <f t="shared" si="61"/>
        <v>18</v>
      </c>
      <c r="V220" s="27">
        <f t="shared" si="62"/>
        <v>0</v>
      </c>
      <c r="W220" s="27">
        <f t="shared" si="63"/>
        <v>18</v>
      </c>
      <c r="Y220" s="2"/>
    </row>
  </sheetData>
  <sheetProtection/>
  <mergeCells count="23">
    <mergeCell ref="B212:B213"/>
    <mergeCell ref="B72:B74"/>
    <mergeCell ref="B76:B77"/>
    <mergeCell ref="B79:B81"/>
    <mergeCell ref="B97:B100"/>
    <mergeCell ref="B102:B104"/>
    <mergeCell ref="M1:P1"/>
    <mergeCell ref="M2:P2"/>
    <mergeCell ref="B18:B23"/>
    <mergeCell ref="A15:A17"/>
    <mergeCell ref="B15:B17"/>
    <mergeCell ref="C15:C17"/>
    <mergeCell ref="D15:G15"/>
    <mergeCell ref="H15:R15"/>
    <mergeCell ref="H16:L16"/>
    <mergeCell ref="M16:Q16"/>
    <mergeCell ref="B24:B25"/>
    <mergeCell ref="B38:B39"/>
    <mergeCell ref="B62:B63"/>
    <mergeCell ref="A7:S7"/>
    <mergeCell ref="A8:S8"/>
    <mergeCell ref="A9:S9"/>
    <mergeCell ref="R16:R17"/>
  </mergeCells>
  <printOptions/>
  <pageMargins left="0.3937007874015748" right="0" top="0" bottom="0" header="0.5118110236220472" footer="0.5118110236220472"/>
  <pageSetup fitToHeight="0" horizontalDpi="600" verticalDpi="600" orientation="landscape" paperSize="9" scale="50" r:id="rId1"/>
  <rowBreaks count="2" manualBreakCount="2">
    <brk id="37" max="17" man="1"/>
    <brk id="85" max="17" man="1"/>
  </rowBreaks>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B1">
      <selection activeCell="D26" sqref="D26"/>
    </sheetView>
  </sheetViews>
  <sheetFormatPr defaultColWidth="9.00390625" defaultRowHeight="12.75"/>
  <cols>
    <col min="1" max="1" width="55.375" style="13" customWidth="1"/>
    <col min="2" max="2" width="28.625" style="13" customWidth="1"/>
    <col min="3" max="3" width="18.375" style="13" customWidth="1"/>
    <col min="4" max="4" width="17.00390625" style="13" customWidth="1"/>
    <col min="5" max="16384" width="9.125" style="13" customWidth="1"/>
  </cols>
  <sheetData>
    <row r="1" spans="3:4" ht="15.75">
      <c r="C1" s="84" t="s">
        <v>249</v>
      </c>
      <c r="D1" s="84"/>
    </row>
    <row r="2" spans="3:4" ht="15.75">
      <c r="C2" s="84" t="s">
        <v>241</v>
      </c>
      <c r="D2" s="84"/>
    </row>
    <row r="4" spans="1:4" ht="15.75">
      <c r="A4" s="85" t="s">
        <v>230</v>
      </c>
      <c r="B4" s="85"/>
      <c r="C4" s="85"/>
      <c r="D4" s="85"/>
    </row>
    <row r="5" spans="1:4" ht="37.5" customHeight="1">
      <c r="A5" s="85" t="s">
        <v>231</v>
      </c>
      <c r="B5" s="85"/>
      <c r="C5" s="85"/>
      <c r="D5" s="85"/>
    </row>
    <row r="6" spans="1:4" ht="15.75">
      <c r="A6" s="85"/>
      <c r="B6" s="85"/>
      <c r="C6" s="85"/>
      <c r="D6" s="85"/>
    </row>
    <row r="7" spans="1:6" ht="51" customHeight="1">
      <c r="A7" s="89" t="s">
        <v>242</v>
      </c>
      <c r="B7" s="89" t="s">
        <v>178</v>
      </c>
      <c r="C7" s="86" t="s">
        <v>371</v>
      </c>
      <c r="D7" s="87"/>
      <c r="E7" s="87"/>
      <c r="F7" s="88"/>
    </row>
    <row r="8" spans="1:6" ht="15.75">
      <c r="A8" s="89"/>
      <c r="B8" s="89"/>
      <c r="C8" s="14" t="s">
        <v>237</v>
      </c>
      <c r="D8" s="14" t="s">
        <v>238</v>
      </c>
      <c r="E8" s="68" t="s">
        <v>373</v>
      </c>
      <c r="F8" s="68" t="s">
        <v>248</v>
      </c>
    </row>
    <row r="9" spans="1:6" ht="15.75">
      <c r="A9" s="14">
        <v>1</v>
      </c>
      <c r="B9" s="14">
        <v>2</v>
      </c>
      <c r="C9" s="14">
        <v>3</v>
      </c>
      <c r="D9" s="14">
        <v>4</v>
      </c>
      <c r="E9" s="68"/>
      <c r="F9" s="68"/>
    </row>
    <row r="10" spans="1:6" s="7" customFormat="1" ht="15">
      <c r="A10" s="79" t="s">
        <v>33</v>
      </c>
      <c r="B10" s="15" t="s">
        <v>275</v>
      </c>
      <c r="C10" s="6">
        <f>SUM(C11:C15)</f>
        <v>2399243.8</v>
      </c>
      <c r="D10" s="6">
        <f>SUM(D11:D15)</f>
        <v>2023404</v>
      </c>
      <c r="E10" s="69">
        <f>C10-D10</f>
        <v>375839.8</v>
      </c>
      <c r="F10" s="70">
        <f>D10/C10%</f>
        <v>84.34</v>
      </c>
    </row>
    <row r="11" spans="1:6" s="7" customFormat="1" ht="15">
      <c r="A11" s="79"/>
      <c r="B11" s="8" t="s">
        <v>276</v>
      </c>
      <c r="C11" s="6">
        <f>C17+C23+C29+C35+C41+C47+C53</f>
        <v>580456.8</v>
      </c>
      <c r="D11" s="6">
        <f>D17+D23+D29+D35+D41+D47+D53</f>
        <v>562604.8</v>
      </c>
      <c r="E11" s="69">
        <f aca="true" t="shared" si="0" ref="E11:E57">C11-D11</f>
        <v>17852</v>
      </c>
      <c r="F11" s="70">
        <f aca="true" t="shared" si="1" ref="F11:F54">D11/C11%</f>
        <v>96.92</v>
      </c>
    </row>
    <row r="12" spans="1:6" s="7" customFormat="1" ht="15.75">
      <c r="A12" s="79"/>
      <c r="B12" s="16" t="s">
        <v>235</v>
      </c>
      <c r="C12" s="6">
        <f>C18+C24+C30+C36+C42+C48+C54</f>
        <v>1656113.9</v>
      </c>
      <c r="D12" s="6">
        <f>D18+D24+D30+D36+D42+D48+D54</f>
        <v>1460799.2</v>
      </c>
      <c r="E12" s="69">
        <f t="shared" si="0"/>
        <v>195314.7</v>
      </c>
      <c r="F12" s="70">
        <f t="shared" si="1"/>
        <v>88.21</v>
      </c>
    </row>
    <row r="13" spans="1:6" s="7" customFormat="1" ht="15.75">
      <c r="A13" s="79"/>
      <c r="B13" s="16" t="s">
        <v>243</v>
      </c>
      <c r="C13" s="6">
        <f>C37+C43+C49</f>
        <v>162673.1</v>
      </c>
      <c r="D13" s="6">
        <f>D37+D43+D49</f>
        <v>0</v>
      </c>
      <c r="E13" s="69">
        <f t="shared" si="0"/>
        <v>162673.1</v>
      </c>
      <c r="F13" s="70">
        <f t="shared" si="1"/>
        <v>0</v>
      </c>
    </row>
    <row r="14" spans="1:6" s="7" customFormat="1" ht="15.75">
      <c r="A14" s="79"/>
      <c r="B14" s="16" t="s">
        <v>234</v>
      </c>
      <c r="C14" s="6">
        <v>0</v>
      </c>
      <c r="D14" s="6">
        <v>0</v>
      </c>
      <c r="E14" s="69">
        <f t="shared" si="0"/>
        <v>0</v>
      </c>
      <c r="F14" s="70"/>
    </row>
    <row r="15" spans="1:6" s="7" customFormat="1" ht="15.75">
      <c r="A15" s="79"/>
      <c r="B15" s="16" t="s">
        <v>244</v>
      </c>
      <c r="C15" s="6">
        <v>0</v>
      </c>
      <c r="D15" s="6">
        <v>0</v>
      </c>
      <c r="E15" s="69">
        <f t="shared" si="0"/>
        <v>0</v>
      </c>
      <c r="F15" s="70"/>
    </row>
    <row r="16" spans="1:6" s="7" customFormat="1" ht="15">
      <c r="A16" s="80" t="s">
        <v>22</v>
      </c>
      <c r="B16" s="15" t="s">
        <v>275</v>
      </c>
      <c r="C16" s="6">
        <f>SUM(C17:C21)</f>
        <v>579612.9</v>
      </c>
      <c r="D16" s="6">
        <f>SUM(D17:D21)</f>
        <v>534748.6</v>
      </c>
      <c r="E16" s="69">
        <f t="shared" si="0"/>
        <v>44864.3</v>
      </c>
      <c r="F16" s="70">
        <f t="shared" si="1"/>
        <v>92.26</v>
      </c>
    </row>
    <row r="17" spans="1:6" s="7" customFormat="1" ht="15">
      <c r="A17" s="81"/>
      <c r="B17" s="8" t="s">
        <v>276</v>
      </c>
      <c r="C17" s="6">
        <v>118941</v>
      </c>
      <c r="D17" s="6">
        <v>118713.3</v>
      </c>
      <c r="E17" s="69">
        <f t="shared" si="0"/>
        <v>227.7</v>
      </c>
      <c r="F17" s="70">
        <f t="shared" si="1"/>
        <v>99.81</v>
      </c>
    </row>
    <row r="18" spans="1:6" s="7" customFormat="1" ht="15.75">
      <c r="A18" s="81"/>
      <c r="B18" s="16" t="s">
        <v>235</v>
      </c>
      <c r="C18" s="6">
        <v>460671.9</v>
      </c>
      <c r="D18" s="6">
        <v>416035.3</v>
      </c>
      <c r="E18" s="69">
        <f t="shared" si="0"/>
        <v>44636.6</v>
      </c>
      <c r="F18" s="70">
        <f t="shared" si="1"/>
        <v>90.31</v>
      </c>
    </row>
    <row r="19" spans="1:6" s="7" customFormat="1" ht="15.75">
      <c r="A19" s="81"/>
      <c r="B19" s="16" t="s">
        <v>243</v>
      </c>
      <c r="C19" s="6">
        <v>0</v>
      </c>
      <c r="D19" s="6">
        <v>0</v>
      </c>
      <c r="E19" s="69">
        <f t="shared" si="0"/>
        <v>0</v>
      </c>
      <c r="F19" s="70"/>
    </row>
    <row r="20" spans="1:6" s="7" customFormat="1" ht="15.75">
      <c r="A20" s="81"/>
      <c r="B20" s="16" t="s">
        <v>234</v>
      </c>
      <c r="C20" s="6">
        <v>0</v>
      </c>
      <c r="D20" s="6">
        <v>0</v>
      </c>
      <c r="E20" s="69">
        <f t="shared" si="0"/>
        <v>0</v>
      </c>
      <c r="F20" s="70"/>
    </row>
    <row r="21" spans="1:6" s="7" customFormat="1" ht="15.75">
      <c r="A21" s="82"/>
      <c r="B21" s="16" t="s">
        <v>244</v>
      </c>
      <c r="C21" s="6">
        <v>0</v>
      </c>
      <c r="D21" s="6">
        <v>0</v>
      </c>
      <c r="E21" s="69">
        <f t="shared" si="0"/>
        <v>0</v>
      </c>
      <c r="F21" s="70"/>
    </row>
    <row r="22" spans="1:6" s="7" customFormat="1" ht="15">
      <c r="A22" s="79" t="s">
        <v>26</v>
      </c>
      <c r="B22" s="15" t="s">
        <v>275</v>
      </c>
      <c r="C22" s="6">
        <f>SUM(C23:C27)</f>
        <v>1130975.6</v>
      </c>
      <c r="D22" s="6">
        <f>SUM(D23:D27)</f>
        <v>1064055</v>
      </c>
      <c r="E22" s="69">
        <f t="shared" si="0"/>
        <v>66920.6</v>
      </c>
      <c r="F22" s="70">
        <f t="shared" si="1"/>
        <v>94.08</v>
      </c>
    </row>
    <row r="23" spans="1:6" s="7" customFormat="1" ht="15">
      <c r="A23" s="79"/>
      <c r="B23" s="8" t="s">
        <v>276</v>
      </c>
      <c r="C23" s="6">
        <v>184769.1</v>
      </c>
      <c r="D23" s="6">
        <v>184003.8</v>
      </c>
      <c r="E23" s="69">
        <f t="shared" si="0"/>
        <v>765.3</v>
      </c>
      <c r="F23" s="70">
        <f t="shared" si="1"/>
        <v>99.59</v>
      </c>
    </row>
    <row r="24" spans="1:6" s="7" customFormat="1" ht="15.75">
      <c r="A24" s="79"/>
      <c r="B24" s="16" t="s">
        <v>235</v>
      </c>
      <c r="C24" s="6">
        <v>946206.5</v>
      </c>
      <c r="D24" s="6">
        <v>880051.2</v>
      </c>
      <c r="E24" s="69">
        <f t="shared" si="0"/>
        <v>66155.3</v>
      </c>
      <c r="F24" s="70">
        <f t="shared" si="1"/>
        <v>93.01</v>
      </c>
    </row>
    <row r="25" spans="1:6" s="7" customFormat="1" ht="15.75">
      <c r="A25" s="79"/>
      <c r="B25" s="16" t="s">
        <v>243</v>
      </c>
      <c r="C25" s="6">
        <v>0</v>
      </c>
      <c r="D25" s="6">
        <v>0</v>
      </c>
      <c r="E25" s="69">
        <f t="shared" si="0"/>
        <v>0</v>
      </c>
      <c r="F25" s="70"/>
    </row>
    <row r="26" spans="1:6" s="7" customFormat="1" ht="15.75">
      <c r="A26" s="79"/>
      <c r="B26" s="16" t="s">
        <v>234</v>
      </c>
      <c r="C26" s="6">
        <v>0</v>
      </c>
      <c r="D26" s="6">
        <v>0</v>
      </c>
      <c r="E26" s="69">
        <f t="shared" si="0"/>
        <v>0</v>
      </c>
      <c r="F26" s="70"/>
    </row>
    <row r="27" spans="1:6" s="7" customFormat="1" ht="15.75">
      <c r="A27" s="79"/>
      <c r="B27" s="16" t="s">
        <v>244</v>
      </c>
      <c r="C27" s="6">
        <v>0</v>
      </c>
      <c r="D27" s="6">
        <v>0</v>
      </c>
      <c r="E27" s="69">
        <f t="shared" si="0"/>
        <v>0</v>
      </c>
      <c r="F27" s="70"/>
    </row>
    <row r="28" spans="1:6" s="7" customFormat="1" ht="15">
      <c r="A28" s="79" t="s">
        <v>28</v>
      </c>
      <c r="B28" s="15" t="s">
        <v>275</v>
      </c>
      <c r="C28" s="6">
        <f>SUM(C29:C33)</f>
        <v>64545.4</v>
      </c>
      <c r="D28" s="6">
        <f>SUM(D29:D33)</f>
        <v>64483</v>
      </c>
      <c r="E28" s="69">
        <f t="shared" si="0"/>
        <v>62.4</v>
      </c>
      <c r="F28" s="70">
        <f t="shared" si="1"/>
        <v>99.9</v>
      </c>
    </row>
    <row r="29" spans="1:6" s="7" customFormat="1" ht="15">
      <c r="A29" s="79"/>
      <c r="B29" s="8" t="s">
        <v>276</v>
      </c>
      <c r="C29" s="6">
        <v>64545.4</v>
      </c>
      <c r="D29" s="6">
        <v>64483</v>
      </c>
      <c r="E29" s="69">
        <f t="shared" si="0"/>
        <v>62.4</v>
      </c>
      <c r="F29" s="70">
        <f t="shared" si="1"/>
        <v>99.9</v>
      </c>
    </row>
    <row r="30" spans="1:6" s="7" customFormat="1" ht="15.75">
      <c r="A30" s="79"/>
      <c r="B30" s="16" t="s">
        <v>235</v>
      </c>
      <c r="C30" s="6">
        <v>0</v>
      </c>
      <c r="D30" s="6">
        <v>0</v>
      </c>
      <c r="E30" s="69">
        <f t="shared" si="0"/>
        <v>0</v>
      </c>
      <c r="F30" s="70"/>
    </row>
    <row r="31" spans="1:6" s="7" customFormat="1" ht="15.75">
      <c r="A31" s="79"/>
      <c r="B31" s="16" t="s">
        <v>243</v>
      </c>
      <c r="C31" s="6">
        <v>0</v>
      </c>
      <c r="D31" s="6">
        <v>0</v>
      </c>
      <c r="E31" s="69">
        <f t="shared" si="0"/>
        <v>0</v>
      </c>
      <c r="F31" s="70"/>
    </row>
    <row r="32" spans="1:6" s="7" customFormat="1" ht="15.75">
      <c r="A32" s="79"/>
      <c r="B32" s="16" t="s">
        <v>234</v>
      </c>
      <c r="C32" s="6">
        <v>0</v>
      </c>
      <c r="D32" s="6">
        <v>0</v>
      </c>
      <c r="E32" s="69">
        <f t="shared" si="0"/>
        <v>0</v>
      </c>
      <c r="F32" s="70"/>
    </row>
    <row r="33" spans="1:6" s="7" customFormat="1" ht="15.75">
      <c r="A33" s="79"/>
      <c r="B33" s="16" t="s">
        <v>244</v>
      </c>
      <c r="C33" s="6">
        <v>0</v>
      </c>
      <c r="D33" s="6">
        <v>0</v>
      </c>
      <c r="E33" s="69">
        <f t="shared" si="0"/>
        <v>0</v>
      </c>
      <c r="F33" s="70"/>
    </row>
    <row r="34" spans="1:6" s="7" customFormat="1" ht="15">
      <c r="A34" s="80" t="s">
        <v>29</v>
      </c>
      <c r="B34" s="15" t="s">
        <v>275</v>
      </c>
      <c r="C34" s="6">
        <f>SUM(C35:C39)</f>
        <v>26688.2</v>
      </c>
      <c r="D34" s="6">
        <f>SUM(D35:D39)</f>
        <v>26414</v>
      </c>
      <c r="E34" s="69">
        <f t="shared" si="0"/>
        <v>274.2</v>
      </c>
      <c r="F34" s="70">
        <f t="shared" si="1"/>
        <v>98.97</v>
      </c>
    </row>
    <row r="35" spans="1:6" s="7" customFormat="1" ht="15">
      <c r="A35" s="81"/>
      <c r="B35" s="8" t="s">
        <v>276</v>
      </c>
      <c r="C35" s="6">
        <v>8693.3</v>
      </c>
      <c r="D35" s="6">
        <v>8475.5</v>
      </c>
      <c r="E35" s="69">
        <f t="shared" si="0"/>
        <v>217.8</v>
      </c>
      <c r="F35" s="70">
        <f t="shared" si="1"/>
        <v>97.49</v>
      </c>
    </row>
    <row r="36" spans="1:6" s="7" customFormat="1" ht="15.75">
      <c r="A36" s="81"/>
      <c r="B36" s="16" t="s">
        <v>235</v>
      </c>
      <c r="C36" s="6">
        <v>17994.9</v>
      </c>
      <c r="D36" s="6">
        <v>17938.5</v>
      </c>
      <c r="E36" s="69">
        <f t="shared" si="0"/>
        <v>56.4</v>
      </c>
      <c r="F36" s="70">
        <f t="shared" si="1"/>
        <v>99.69</v>
      </c>
    </row>
    <row r="37" spans="1:6" s="7" customFormat="1" ht="15.75">
      <c r="A37" s="81"/>
      <c r="B37" s="16" t="s">
        <v>243</v>
      </c>
      <c r="C37" s="6">
        <v>0</v>
      </c>
      <c r="D37" s="6">
        <v>0</v>
      </c>
      <c r="E37" s="69">
        <f t="shared" si="0"/>
        <v>0</v>
      </c>
      <c r="F37" s="70"/>
    </row>
    <row r="38" spans="1:6" s="7" customFormat="1" ht="15.75">
      <c r="A38" s="81"/>
      <c r="B38" s="16" t="s">
        <v>234</v>
      </c>
      <c r="C38" s="6">
        <v>0</v>
      </c>
      <c r="D38" s="6">
        <v>0</v>
      </c>
      <c r="E38" s="69">
        <f t="shared" si="0"/>
        <v>0</v>
      </c>
      <c r="F38" s="70"/>
    </row>
    <row r="39" spans="1:6" s="7" customFormat="1" ht="15.75">
      <c r="A39" s="82"/>
      <c r="B39" s="16" t="s">
        <v>244</v>
      </c>
      <c r="C39" s="6">
        <v>0</v>
      </c>
      <c r="D39" s="6">
        <v>0</v>
      </c>
      <c r="E39" s="69">
        <f t="shared" si="0"/>
        <v>0</v>
      </c>
      <c r="F39" s="70"/>
    </row>
    <row r="40" spans="1:6" s="7" customFormat="1" ht="15">
      <c r="A40" s="80" t="s">
        <v>58</v>
      </c>
      <c r="B40" s="15" t="s">
        <v>275</v>
      </c>
      <c r="C40" s="6">
        <f>SUM(C41:C45)</f>
        <v>70270.8</v>
      </c>
      <c r="D40" s="6">
        <f>SUM(D41:D45)</f>
        <v>69242.4</v>
      </c>
      <c r="E40" s="69">
        <f t="shared" si="0"/>
        <v>1028.4</v>
      </c>
      <c r="F40" s="70">
        <f t="shared" si="1"/>
        <v>98.54</v>
      </c>
    </row>
    <row r="41" spans="1:6" s="7" customFormat="1" ht="15">
      <c r="A41" s="81"/>
      <c r="B41" s="8" t="s">
        <v>276</v>
      </c>
      <c r="C41" s="6">
        <v>951.5</v>
      </c>
      <c r="D41" s="6">
        <v>950.7</v>
      </c>
      <c r="E41" s="69">
        <f t="shared" si="0"/>
        <v>0.8</v>
      </c>
      <c r="F41" s="70">
        <f t="shared" si="1"/>
        <v>99.92</v>
      </c>
    </row>
    <row r="42" spans="1:6" s="7" customFormat="1" ht="15.75">
      <c r="A42" s="81"/>
      <c r="B42" s="16" t="s">
        <v>235</v>
      </c>
      <c r="C42" s="6">
        <v>69319.3</v>
      </c>
      <c r="D42" s="6">
        <v>68291.7</v>
      </c>
      <c r="E42" s="69">
        <f t="shared" si="0"/>
        <v>1027.6</v>
      </c>
      <c r="F42" s="70">
        <f t="shared" si="1"/>
        <v>98.52</v>
      </c>
    </row>
    <row r="43" spans="1:6" s="7" customFormat="1" ht="15.75">
      <c r="A43" s="81"/>
      <c r="B43" s="16" t="s">
        <v>243</v>
      </c>
      <c r="C43" s="9">
        <v>0</v>
      </c>
      <c r="D43" s="9">
        <v>0</v>
      </c>
      <c r="E43" s="69">
        <f t="shared" si="0"/>
        <v>0</v>
      </c>
      <c r="F43" s="70"/>
    </row>
    <row r="44" spans="1:6" s="7" customFormat="1" ht="15.75">
      <c r="A44" s="81"/>
      <c r="B44" s="16" t="s">
        <v>234</v>
      </c>
      <c r="C44" s="9">
        <v>0</v>
      </c>
      <c r="D44" s="9">
        <v>0</v>
      </c>
      <c r="E44" s="69">
        <f t="shared" si="0"/>
        <v>0</v>
      </c>
      <c r="F44" s="70"/>
    </row>
    <row r="45" spans="1:6" s="7" customFormat="1" ht="15.75">
      <c r="A45" s="82"/>
      <c r="B45" s="16" t="s">
        <v>244</v>
      </c>
      <c r="C45" s="9">
        <v>0</v>
      </c>
      <c r="D45" s="9">
        <v>0</v>
      </c>
      <c r="E45" s="69">
        <f t="shared" si="0"/>
        <v>0</v>
      </c>
      <c r="F45" s="70"/>
    </row>
    <row r="46" spans="1:6" s="7" customFormat="1" ht="15">
      <c r="A46" s="79" t="s">
        <v>55</v>
      </c>
      <c r="B46" s="15" t="s">
        <v>275</v>
      </c>
      <c r="C46" s="9">
        <f>SUM(C47:C51)</f>
        <v>493969.2</v>
      </c>
      <c r="D46" s="9">
        <f>SUM(D47:D51)</f>
        <v>231330.1</v>
      </c>
      <c r="E46" s="69">
        <f t="shared" si="0"/>
        <v>262639.1</v>
      </c>
      <c r="F46" s="70">
        <f t="shared" si="1"/>
        <v>46.83</v>
      </c>
    </row>
    <row r="47" spans="1:6" s="7" customFormat="1" ht="15">
      <c r="A47" s="79"/>
      <c r="B47" s="8" t="s">
        <v>276</v>
      </c>
      <c r="C47" s="9">
        <v>170555.8</v>
      </c>
      <c r="D47" s="9">
        <v>154005.3</v>
      </c>
      <c r="E47" s="69">
        <f t="shared" si="0"/>
        <v>16550.5</v>
      </c>
      <c r="F47" s="70">
        <f t="shared" si="1"/>
        <v>90.3</v>
      </c>
    </row>
    <row r="48" spans="1:6" s="7" customFormat="1" ht="15.75">
      <c r="A48" s="79"/>
      <c r="B48" s="16" t="s">
        <v>235</v>
      </c>
      <c r="C48" s="9">
        <v>160740.3</v>
      </c>
      <c r="D48" s="9">
        <v>77324.8</v>
      </c>
      <c r="E48" s="69">
        <f t="shared" si="0"/>
        <v>83415.5</v>
      </c>
      <c r="F48" s="70">
        <f t="shared" si="1"/>
        <v>48.11</v>
      </c>
    </row>
    <row r="49" spans="1:6" s="7" customFormat="1" ht="15.75">
      <c r="A49" s="79"/>
      <c r="B49" s="16" t="s">
        <v>243</v>
      </c>
      <c r="C49" s="9">
        <v>162673.1</v>
      </c>
      <c r="D49" s="9">
        <v>0</v>
      </c>
      <c r="E49" s="69">
        <f t="shared" si="0"/>
        <v>162673.1</v>
      </c>
      <c r="F49" s="70">
        <f t="shared" si="1"/>
        <v>0</v>
      </c>
    </row>
    <row r="50" spans="1:6" s="7" customFormat="1" ht="15.75">
      <c r="A50" s="79"/>
      <c r="B50" s="16" t="s">
        <v>234</v>
      </c>
      <c r="C50" s="9">
        <v>0</v>
      </c>
      <c r="D50" s="9">
        <v>0</v>
      </c>
      <c r="E50" s="69">
        <f t="shared" si="0"/>
        <v>0</v>
      </c>
      <c r="F50" s="70"/>
    </row>
    <row r="51" spans="1:6" s="7" customFormat="1" ht="15.75">
      <c r="A51" s="79"/>
      <c r="B51" s="16" t="s">
        <v>244</v>
      </c>
      <c r="C51" s="9">
        <v>0</v>
      </c>
      <c r="D51" s="9">
        <v>0</v>
      </c>
      <c r="E51" s="69">
        <f t="shared" si="0"/>
        <v>0</v>
      </c>
      <c r="F51" s="70"/>
    </row>
    <row r="52" spans="1:6" s="7" customFormat="1" ht="15">
      <c r="A52" s="79" t="s">
        <v>32</v>
      </c>
      <c r="B52" s="15" t="s">
        <v>275</v>
      </c>
      <c r="C52" s="9">
        <f>SUM(C53:C57)</f>
        <v>33181.7</v>
      </c>
      <c r="D52" s="9">
        <f>SUM(D53:D57)</f>
        <v>33130.9</v>
      </c>
      <c r="E52" s="69">
        <f t="shared" si="0"/>
        <v>50.8</v>
      </c>
      <c r="F52" s="70">
        <f t="shared" si="1"/>
        <v>99.85</v>
      </c>
    </row>
    <row r="53" spans="1:6" s="7" customFormat="1" ht="15">
      <c r="A53" s="79"/>
      <c r="B53" s="8" t="s">
        <v>276</v>
      </c>
      <c r="C53" s="9">
        <v>32000.7</v>
      </c>
      <c r="D53" s="9">
        <v>31973.2</v>
      </c>
      <c r="E53" s="69">
        <f t="shared" si="0"/>
        <v>27.5</v>
      </c>
      <c r="F53" s="70">
        <f t="shared" si="1"/>
        <v>99.91</v>
      </c>
    </row>
    <row r="54" spans="1:6" s="7" customFormat="1" ht="15.75">
      <c r="A54" s="79"/>
      <c r="B54" s="16" t="s">
        <v>235</v>
      </c>
      <c r="C54" s="9">
        <v>1181</v>
      </c>
      <c r="D54" s="9">
        <v>1157.7</v>
      </c>
      <c r="E54" s="69">
        <f t="shared" si="0"/>
        <v>23.3</v>
      </c>
      <c r="F54" s="70">
        <f t="shared" si="1"/>
        <v>98.03</v>
      </c>
    </row>
    <row r="55" spans="1:6" s="7" customFormat="1" ht="15.75">
      <c r="A55" s="79"/>
      <c r="B55" s="16" t="s">
        <v>243</v>
      </c>
      <c r="C55" s="9">
        <v>0</v>
      </c>
      <c r="D55" s="9">
        <v>0</v>
      </c>
      <c r="E55" s="69">
        <f t="shared" si="0"/>
        <v>0</v>
      </c>
      <c r="F55" s="70"/>
    </row>
    <row r="56" spans="1:6" s="7" customFormat="1" ht="15.75">
      <c r="A56" s="79"/>
      <c r="B56" s="16" t="s">
        <v>234</v>
      </c>
      <c r="C56" s="9">
        <v>0</v>
      </c>
      <c r="D56" s="9">
        <v>0</v>
      </c>
      <c r="E56" s="69">
        <f t="shared" si="0"/>
        <v>0</v>
      </c>
      <c r="F56" s="70"/>
    </row>
    <row r="57" spans="1:6" s="7" customFormat="1" ht="15.75">
      <c r="A57" s="79"/>
      <c r="B57" s="16" t="s">
        <v>244</v>
      </c>
      <c r="C57" s="9">
        <v>0</v>
      </c>
      <c r="D57" s="9">
        <v>0</v>
      </c>
      <c r="E57" s="69">
        <f t="shared" si="0"/>
        <v>0</v>
      </c>
      <c r="F57" s="70"/>
    </row>
    <row r="58" spans="1:2" ht="15.75">
      <c r="A58" s="4"/>
      <c r="B58" s="1"/>
    </row>
    <row r="60" spans="1:12" s="5" customFormat="1" ht="18.75">
      <c r="A60" s="83" t="s">
        <v>245</v>
      </c>
      <c r="B60" s="83"/>
      <c r="C60" s="83" t="s">
        <v>250</v>
      </c>
      <c r="D60" s="83"/>
      <c r="E60" s="83"/>
      <c r="F60" s="83"/>
      <c r="G60" s="83"/>
      <c r="H60" s="83"/>
      <c r="I60" s="12"/>
      <c r="J60" s="12"/>
      <c r="K60" s="12"/>
      <c r="L60" s="12"/>
    </row>
    <row r="61" spans="1:12" s="5" customFormat="1" ht="18.75">
      <c r="A61" s="11"/>
      <c r="B61" s="11"/>
      <c r="C61" s="11"/>
      <c r="D61" s="11"/>
      <c r="E61" s="11"/>
      <c r="F61" s="11"/>
      <c r="G61" s="11"/>
      <c r="H61" s="11"/>
      <c r="I61" s="12"/>
      <c r="J61" s="12"/>
      <c r="K61" s="12"/>
      <c r="L61" s="12"/>
    </row>
    <row r="62" spans="1:12" s="5" customFormat="1" ht="18.75">
      <c r="A62" s="11"/>
      <c r="B62" s="11"/>
      <c r="C62" s="11"/>
      <c r="D62" s="11"/>
      <c r="E62" s="11"/>
      <c r="F62" s="11"/>
      <c r="G62" s="11"/>
      <c r="H62" s="11"/>
      <c r="I62" s="12"/>
      <c r="J62" s="12"/>
      <c r="K62" s="12"/>
      <c r="L62" s="12"/>
    </row>
    <row r="63" spans="1:12" s="5" customFormat="1" ht="18.75">
      <c r="A63" s="83" t="s">
        <v>246</v>
      </c>
      <c r="B63" s="83"/>
      <c r="C63" s="83" t="s">
        <v>247</v>
      </c>
      <c r="D63" s="83"/>
      <c r="E63" s="83"/>
      <c r="F63" s="83"/>
      <c r="G63" s="83"/>
      <c r="H63" s="83"/>
      <c r="I63" s="12"/>
      <c r="J63" s="12"/>
      <c r="K63" s="12"/>
      <c r="L63" s="12"/>
    </row>
  </sheetData>
  <sheetProtection/>
  <mergeCells count="22">
    <mergeCell ref="C60:E60"/>
    <mergeCell ref="F60:H60"/>
    <mergeCell ref="A63:B63"/>
    <mergeCell ref="C63:E63"/>
    <mergeCell ref="F63:H63"/>
    <mergeCell ref="A7:A8"/>
    <mergeCell ref="B7:B8"/>
    <mergeCell ref="A10:A15"/>
    <mergeCell ref="A16:A21"/>
    <mergeCell ref="A22:A27"/>
    <mergeCell ref="C1:D1"/>
    <mergeCell ref="A5:D5"/>
    <mergeCell ref="A6:D6"/>
    <mergeCell ref="C2:D2"/>
    <mergeCell ref="A4:D4"/>
    <mergeCell ref="C7:F7"/>
    <mergeCell ref="A28:A33"/>
    <mergeCell ref="A34:A39"/>
    <mergeCell ref="A40:A45"/>
    <mergeCell ref="A46:A51"/>
    <mergeCell ref="A52:A57"/>
    <mergeCell ref="A60:B60"/>
  </mergeCells>
  <printOptions/>
  <pageMargins left="0.5118110236220472" right="0.3937007874015748" top="0.3543307086614173" bottom="0.3543307086614173"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Норицин</dc:creator>
  <cp:keywords/>
  <dc:description/>
  <cp:lastModifiedBy>Кылосова Любовь Аркадьевна</cp:lastModifiedBy>
  <cp:lastPrinted>2019-03-15T10:11:15Z</cp:lastPrinted>
  <dcterms:created xsi:type="dcterms:W3CDTF">2012-01-23T04:48:57Z</dcterms:created>
  <dcterms:modified xsi:type="dcterms:W3CDTF">2019-03-30T07:10:40Z</dcterms:modified>
  <cp:category/>
  <cp:version/>
  <cp:contentType/>
  <cp:contentStatus/>
</cp:coreProperties>
</file>